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Техприсоединение\Техприсоединение на 2022 год\"/>
    </mc:Choice>
  </mc:AlternateContent>
  <bookViews>
    <workbookView xWindow="480" yWindow="260" windowWidth="19420" windowHeight="10970"/>
  </bookViews>
  <sheets>
    <sheet name="Прил 2 к станд" sheetId="1" r:id="rId1"/>
    <sheet name="Прил 3 к станд" sheetId="2" r:id="rId2"/>
    <sheet name="Прил 4 к станд" sheetId="3" r:id="rId3"/>
    <sheet name="Прил 5 к станд" sheetId="4" r:id="rId4"/>
    <sheet name="Прил 1 к мет.указ." sheetId="5" r:id="rId5"/>
    <sheet name="Прил 2 к мет.указ.пост" sheetId="7" r:id="rId6"/>
    <sheet name="Прил 2 к мет.указ.врем" sheetId="6" r:id="rId7"/>
    <sheet name="Прил 3 к мет.указ.пост.пп.а" sheetId="8" r:id="rId8"/>
    <sheet name="Прил 3 к мет.указ.пост.пп.в" sheetId="9" r:id="rId9"/>
    <sheet name="Прил 3 к мен.указ.пост.пп.в 2.1" sheetId="13" r:id="rId10"/>
    <sheet name="Прил 3 к мет.указ.пост.пп.в 2.2" sheetId="12" r:id="rId11"/>
    <sheet name="Прил 3 к мет.указ.врем.пп.а" sheetId="10" r:id="rId12"/>
    <sheet name="Прил 3 к мет.указ.врем.пп.в" sheetId="11" r:id="rId13"/>
    <sheet name="Прил 3 к мет.указ.врем.пп.в 2.1" sheetId="14" r:id="rId14"/>
  </sheets>
  <externalReferences>
    <externalReference r:id="rId15"/>
  </externalReferences>
  <definedNames>
    <definedName name="_xlnm.Print_Area" localSheetId="0">'Прил 2 к станд'!$A$1:$C$17</definedName>
    <definedName name="_xlnm.Print_Area" localSheetId="1">'Прил 3 к станд'!$A$1:$D$23</definedName>
  </definedNames>
  <calcPr calcId="162913" fullPrecision="0"/>
</workbook>
</file>

<file path=xl/calcChain.xml><?xml version="1.0" encoding="utf-8"?>
<calcChain xmlns="http://schemas.openxmlformats.org/spreadsheetml/2006/main">
  <c r="G22" i="5" l="1"/>
  <c r="G14" i="5"/>
  <c r="E14" i="5"/>
  <c r="D24" i="2"/>
  <c r="C24" i="2"/>
  <c r="B24" i="2"/>
  <c r="E25" i="14" l="1"/>
  <c r="D25" i="14"/>
  <c r="C25" i="14"/>
  <c r="E19" i="14"/>
  <c r="E16" i="14" s="1"/>
  <c r="D19" i="14"/>
  <c r="D16" i="14" s="1"/>
  <c r="C19" i="14"/>
  <c r="C16" i="14" s="1"/>
  <c r="E25" i="11"/>
  <c r="D25" i="11"/>
  <c r="C25" i="11"/>
  <c r="E19" i="11"/>
  <c r="E16" i="11" s="1"/>
  <c r="D19" i="11"/>
  <c r="D16" i="11" s="1"/>
  <c r="C19" i="11"/>
  <c r="C16" i="11" s="1"/>
  <c r="E25" i="10"/>
  <c r="D25" i="10"/>
  <c r="C25" i="10"/>
  <c r="E19" i="10"/>
  <c r="E16" i="10" s="1"/>
  <c r="D19" i="10"/>
  <c r="D16" i="10" s="1"/>
  <c r="C19" i="10"/>
  <c r="C16" i="10" s="1"/>
  <c r="E25" i="12"/>
  <c r="D25" i="12"/>
  <c r="C25" i="12"/>
  <c r="E19" i="12"/>
  <c r="E16" i="12" s="1"/>
  <c r="D19" i="12"/>
  <c r="D16" i="12" s="1"/>
  <c r="C19" i="12"/>
  <c r="C16" i="12" s="1"/>
  <c r="E25" i="13"/>
  <c r="D25" i="13"/>
  <c r="C25" i="13"/>
  <c r="E19" i="13"/>
  <c r="E16" i="13" s="1"/>
  <c r="D19" i="13"/>
  <c r="D16" i="13" s="1"/>
  <c r="C19" i="13"/>
  <c r="C16" i="13" s="1"/>
  <c r="E25" i="9"/>
  <c r="D25" i="9"/>
  <c r="C25" i="9"/>
  <c r="E19" i="9"/>
  <c r="E16" i="9" s="1"/>
  <c r="D19" i="9"/>
  <c r="D16" i="9" s="1"/>
  <c r="C19" i="9"/>
  <c r="C16" i="9" s="1"/>
  <c r="E25" i="8"/>
  <c r="D25" i="8"/>
  <c r="C25" i="8"/>
  <c r="E19" i="8"/>
  <c r="E16" i="8" s="1"/>
  <c r="D19" i="8"/>
  <c r="D16" i="8" s="1"/>
  <c r="C19" i="8"/>
  <c r="C16" i="8" s="1"/>
  <c r="E12" i="8"/>
  <c r="E41" i="6"/>
  <c r="D41" i="6"/>
  <c r="C41" i="6"/>
  <c r="C40" i="6"/>
  <c r="C37" i="6"/>
  <c r="F37" i="6" s="1"/>
  <c r="E36" i="6"/>
  <c r="E35" i="6" s="1"/>
  <c r="D36" i="6"/>
  <c r="D40" i="6" s="1"/>
  <c r="C36" i="6"/>
  <c r="E28" i="6"/>
  <c r="D28" i="6"/>
  <c r="C28" i="6"/>
  <c r="C27" i="6"/>
  <c r="C25" i="6"/>
  <c r="F25" i="6" s="1"/>
  <c r="E24" i="6"/>
  <c r="E23" i="6" s="1"/>
  <c r="D24" i="6"/>
  <c r="D27" i="6" s="1"/>
  <c r="C24" i="6"/>
  <c r="E16" i="6"/>
  <c r="D16" i="6"/>
  <c r="F16" i="6" s="1"/>
  <c r="C15" i="6"/>
  <c r="C14" i="6" s="1"/>
  <c r="F13" i="6"/>
  <c r="E12" i="6"/>
  <c r="E15" i="6" s="1"/>
  <c r="E14" i="6" s="1"/>
  <c r="D12" i="6"/>
  <c r="D15" i="6" s="1"/>
  <c r="C12" i="6"/>
  <c r="E58" i="7"/>
  <c r="D58" i="7"/>
  <c r="E57" i="7"/>
  <c r="D57" i="7"/>
  <c r="C57" i="7"/>
  <c r="E51" i="7"/>
  <c r="D51" i="7"/>
  <c r="C51" i="7"/>
  <c r="C50" i="7"/>
  <c r="C46" i="7"/>
  <c r="F46" i="7" s="1"/>
  <c r="C45" i="7"/>
  <c r="F45" i="7" s="1"/>
  <c r="E44" i="7"/>
  <c r="E50" i="7" s="1"/>
  <c r="D44" i="7"/>
  <c r="D50" i="7" s="1"/>
  <c r="C44" i="7"/>
  <c r="E36" i="7"/>
  <c r="D36" i="7"/>
  <c r="C36" i="7"/>
  <c r="E35" i="7"/>
  <c r="D35" i="7"/>
  <c r="C35" i="7"/>
  <c r="E34" i="7"/>
  <c r="D34" i="7"/>
  <c r="C34" i="7"/>
  <c r="C33" i="7"/>
  <c r="C31" i="7"/>
  <c r="F31" i="7" s="1"/>
  <c r="C30" i="7"/>
  <c r="C29" i="7"/>
  <c r="F29" i="7" s="1"/>
  <c r="E28" i="7"/>
  <c r="E33" i="7" s="1"/>
  <c r="D28" i="7"/>
  <c r="D33" i="7" s="1"/>
  <c r="C28" i="7"/>
  <c r="E20" i="7"/>
  <c r="D20" i="7"/>
  <c r="E19" i="7"/>
  <c r="D19" i="7"/>
  <c r="F19" i="7" s="1"/>
  <c r="E18" i="7"/>
  <c r="D18" i="7"/>
  <c r="F18" i="7" s="1"/>
  <c r="C17" i="7"/>
  <c r="C16" i="7" s="1"/>
  <c r="F14" i="7"/>
  <c r="F13" i="7"/>
  <c r="E12" i="7"/>
  <c r="E11" i="7" s="1"/>
  <c r="D12" i="7"/>
  <c r="D17" i="7" s="1"/>
  <c r="C12" i="7"/>
  <c r="C11" i="7" s="1"/>
  <c r="C11" i="10" l="1"/>
  <c r="E11" i="9"/>
  <c r="C11" i="8"/>
  <c r="E11" i="12"/>
  <c r="F28" i="6"/>
  <c r="C11" i="12"/>
  <c r="D11" i="10"/>
  <c r="D11" i="14"/>
  <c r="E49" i="7"/>
  <c r="C26" i="6"/>
  <c r="D35" i="6"/>
  <c r="C11" i="9"/>
  <c r="D43" i="7"/>
  <c r="F44" i="7"/>
  <c r="D39" i="6"/>
  <c r="F51" i="7"/>
  <c r="F12" i="6"/>
  <c r="E32" i="7"/>
  <c r="E54" i="7"/>
  <c r="C32" i="7"/>
  <c r="F34" i="7"/>
  <c r="C35" i="6"/>
  <c r="D11" i="8"/>
  <c r="D11" i="13"/>
  <c r="C11" i="13"/>
  <c r="C11" i="11"/>
  <c r="C43" i="7"/>
  <c r="D54" i="7"/>
  <c r="D11" i="7"/>
  <c r="F11" i="7" s="1"/>
  <c r="D27" i="7"/>
  <c r="F36" i="7"/>
  <c r="C49" i="7"/>
  <c r="F57" i="7"/>
  <c r="F24" i="6"/>
  <c r="E11" i="11"/>
  <c r="E43" i="7"/>
  <c r="E17" i="7"/>
  <c r="E16" i="7" s="1"/>
  <c r="C27" i="7"/>
  <c r="F35" i="7"/>
  <c r="F36" i="6"/>
  <c r="F41" i="6"/>
  <c r="E11" i="8"/>
  <c r="E11" i="13"/>
  <c r="D11" i="11"/>
  <c r="E11" i="14"/>
  <c r="C54" i="7"/>
  <c r="F58" i="7"/>
  <c r="E27" i="6"/>
  <c r="E26" i="6" s="1"/>
  <c r="E27" i="7"/>
  <c r="D11" i="6"/>
  <c r="F40" i="6"/>
  <c r="D11" i="9"/>
  <c r="D11" i="12"/>
  <c r="E11" i="10"/>
  <c r="C11" i="14"/>
  <c r="D14" i="6"/>
  <c r="F14" i="6" s="1"/>
  <c r="F15" i="6"/>
  <c r="D26" i="6"/>
  <c r="F27" i="6"/>
  <c r="D23" i="6"/>
  <c r="E11" i="6"/>
  <c r="E40" i="6"/>
  <c r="E39" i="6" s="1"/>
  <c r="C11" i="6"/>
  <c r="C23" i="6"/>
  <c r="F23" i="6" s="1"/>
  <c r="C39" i="6"/>
  <c r="D49" i="7"/>
  <c r="F50" i="7"/>
  <c r="D16" i="7"/>
  <c r="F16" i="7" s="1"/>
  <c r="F17" i="7"/>
  <c r="D32" i="7"/>
  <c r="F33" i="7"/>
  <c r="F12" i="7"/>
  <c r="F28" i="7"/>
  <c r="F30" i="7"/>
  <c r="F11" i="6" l="1"/>
  <c r="F26" i="6"/>
  <c r="F43" i="7"/>
  <c r="F32" i="7"/>
  <c r="F49" i="7"/>
  <c r="F54" i="7"/>
  <c r="F39" i="6"/>
  <c r="F27" i="7"/>
  <c r="F35" i="6"/>
</calcChain>
</file>

<file path=xl/sharedStrings.xml><?xml version="1.0" encoding="utf-8"?>
<sst xmlns="http://schemas.openxmlformats.org/spreadsheetml/2006/main" count="712" uniqueCount="179">
  <si>
    <t>к стандартам раскрытия информации</t>
  </si>
  <si>
    <t>рынков электрической энергии</t>
  </si>
  <si>
    <t>Наименование мероприятия</t>
  </si>
  <si>
    <t>Фактические расходы на строительство подстанций за 3 предыдущих года (тыс. рублей)</t>
  </si>
  <si>
    <t>-</t>
  </si>
  <si>
    <t>2.Строительсво комплектных трансформаторных подстанций и распределительных трансформаторных подстанций уровнем напряжения 35 кВ и выше</t>
  </si>
  <si>
    <t>3.Строительство центров питания и подстанций уровнем напряжения 35кВ и выше</t>
  </si>
  <si>
    <t>Наименование мероприятий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</si>
  <si>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</si>
  <si>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</si>
  <si>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 xml:space="preserve">   </t>
  </si>
  <si>
    <t>1.Строительство кабельных линий электропередачи:</t>
  </si>
  <si>
    <t>0,4кВ</t>
  </si>
  <si>
    <t>1-20кВ</t>
  </si>
  <si>
    <t>35кВ</t>
  </si>
  <si>
    <t>2. Строительсво воздушных линий электропередачи:</t>
  </si>
  <si>
    <t>субъектами оптового и розничных</t>
  </si>
  <si>
    <t>35кВ и выше</t>
  </si>
  <si>
    <t xml:space="preserve">   ИНФОРМАЦИЯ</t>
  </si>
  <si>
    <t xml:space="preserve">        заключенным за текущий год</t>
  </si>
  <si>
    <t xml:space="preserve">            об осуществлении технологического присоединения по договорам,</t>
  </si>
  <si>
    <t xml:space="preserve">   Максимальная мощность (кВт)</t>
  </si>
  <si>
    <t xml:space="preserve">   Количество договоров (штук)</t>
  </si>
  <si>
    <t xml:space="preserve">    к стандартам раскрытия информации</t>
  </si>
  <si>
    <t xml:space="preserve">    субъектами оптового и розничных</t>
  </si>
  <si>
    <t xml:space="preserve">    рынков электрической энергии</t>
  </si>
  <si>
    <t xml:space="preserve">          Количество заявок (штук)</t>
  </si>
  <si>
    <t>Объем мощности, введенной в основные фонды за 3 предыдущих года (кВт)</t>
  </si>
  <si>
    <t>за 3 предыдущих года по каждому мероприятию</t>
  </si>
  <si>
    <t xml:space="preserve"> Стоимость договоров (без НДС) (тыс.рублей)</t>
  </si>
  <si>
    <t>Категория заявителей</t>
  </si>
  <si>
    <t>1.Строительство пунктов секционирования (распределительных пунктов и пр.)</t>
  </si>
  <si>
    <t>Объем максимальной мощности, присоединенной путем строительства воздушных или кабельных линий за последние 3 года (кВт)</t>
  </si>
  <si>
    <t>ИНФОРМАЦИЯ</t>
  </si>
  <si>
    <t xml:space="preserve">     мощности за 3 предыдущих года по каждому мероприятию</t>
  </si>
  <si>
    <t xml:space="preserve">                      рынков электрической энергии</t>
  </si>
  <si>
    <t xml:space="preserve">                      субьектами оптового и розничных</t>
  </si>
  <si>
    <t xml:space="preserve">                      к стандартам раскрытия информации</t>
  </si>
  <si>
    <t xml:space="preserve">                      Приложение № 2</t>
  </si>
  <si>
    <t xml:space="preserve">                 рынков электрической энергии</t>
  </si>
  <si>
    <t xml:space="preserve">                 субъектами оптового и розничных</t>
  </si>
  <si>
    <t xml:space="preserve">                 к стандартам раскрытия информации</t>
  </si>
  <si>
    <t xml:space="preserve">                 Приложение №3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</si>
  <si>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</si>
  <si>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</si>
  <si>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Приложение № 4</t>
  </si>
  <si>
    <t>1. До 15 кВт всего</t>
  </si>
  <si>
    <t xml:space="preserve">2. От 15 кВт до 150 кВт всего </t>
  </si>
  <si>
    <t>в том числе по индивидуальному проекту</t>
  </si>
  <si>
    <t>3. От 150 до 670 кВт всего</t>
  </si>
  <si>
    <t>* 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</si>
  <si>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</si>
  <si>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в том числе льготная категория *</t>
  </si>
  <si>
    <t>в том числе льготная категория **</t>
  </si>
  <si>
    <t xml:space="preserve">    Приложение № 5</t>
  </si>
  <si>
    <t>о поданных заявках на технологическое присоединение за текущий год</t>
  </si>
  <si>
    <t xml:space="preserve">   о фактических средних данных о присоединенных объемах максимальной </t>
  </si>
  <si>
    <t>Приложение №1</t>
  </si>
  <si>
    <t>к методическим указаниям по определению размера платы за технологическое присоединение к электрическим сетям</t>
  </si>
  <si>
    <t>№п/п</t>
  </si>
  <si>
    <t>Год ввода объекта</t>
  </si>
  <si>
    <t>Уровень напряжения, кВ</t>
  </si>
  <si>
    <t>Максимальная мощность, кВт</t>
  </si>
  <si>
    <t>1.</t>
  </si>
  <si>
    <t>Строительство ВЛ</t>
  </si>
  <si>
    <t>2.</t>
  </si>
  <si>
    <t>Строительство КЛ</t>
  </si>
  <si>
    <t>КЛ-6кВ, ААБл 3х70</t>
  </si>
  <si>
    <t>КЛ-0,4кВ, ВБШв 4х240</t>
  </si>
  <si>
    <t>2КЛ-10кВ, ААБл 3х95</t>
  </si>
  <si>
    <t>4.</t>
  </si>
  <si>
    <t>Строительство ТП</t>
  </si>
  <si>
    <t>БКТП 10/0,4кВ, 2х630кВА</t>
  </si>
  <si>
    <t>КТП 6/0,4кВ, 100кВА</t>
  </si>
  <si>
    <t>линейная ячейка 10кВ</t>
  </si>
  <si>
    <t>линейная ячейка 10кВ - 2 шт.</t>
  </si>
  <si>
    <t>линейная ячейка 6кВ</t>
  </si>
  <si>
    <t>линейная ячейка 6кВ - 2 шт.</t>
  </si>
  <si>
    <t>Приложение 2</t>
  </si>
  <si>
    <r>
      <t xml:space="preserve">для </t>
    </r>
    <r>
      <rPr>
        <b/>
        <sz val="12"/>
        <rFont val="Times New Roman"/>
        <family val="1"/>
        <charset val="204"/>
      </rPr>
      <t>временной схемы</t>
    </r>
    <r>
      <rPr>
        <sz val="12"/>
        <rFont val="Times New Roman"/>
        <family val="1"/>
        <charset val="204"/>
      </rPr>
      <t xml:space="preserve"> электроснабжения</t>
    </r>
  </si>
  <si>
    <t>№
п/п</t>
  </si>
  <si>
    <t>Информация для расчета стандартизированной  тарифной ставки С1</t>
  </si>
  <si>
    <t>Расходы на одно присоединение (руб.на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</si>
  <si>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</si>
  <si>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</si>
  <si>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</si>
  <si>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</t>
  </si>
  <si>
    <t>Подготовка и выдача сетевой организацией технических условий Заявителю</t>
  </si>
  <si>
    <t>до 15 кВт</t>
  </si>
  <si>
    <t>от 15 до 150 кВт</t>
  </si>
  <si>
    <t>2</t>
  </si>
  <si>
    <t>Проверка сетевой организацией выполнения Заявителем технических условий</t>
  </si>
  <si>
    <t>за 2018 год</t>
  </si>
  <si>
    <r>
      <t xml:space="preserve">для </t>
    </r>
    <r>
      <rPr>
        <b/>
        <sz val="12"/>
        <rFont val="Times New Roman"/>
        <family val="1"/>
        <charset val="204"/>
      </rPr>
      <t>постоянной схемы</t>
    </r>
    <r>
      <rPr>
        <sz val="12"/>
        <rFont val="Times New Roman"/>
        <family val="1"/>
        <charset val="204"/>
      </rPr>
      <t xml:space="preserve"> электроснабжения</t>
    </r>
  </si>
  <si>
    <t>от 150 кВт до 670 кВт</t>
  </si>
  <si>
    <t>свыше 670 кВт</t>
  </si>
  <si>
    <t>Приложение 3</t>
  </si>
  <si>
    <t>Расчет</t>
  </si>
  <si>
    <t>тыс.руб.</t>
  </si>
  <si>
    <t>Показатели</t>
  </si>
  <si>
    <t>Данные за 2018 год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</si>
  <si>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</si>
  <si>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</si>
  <si>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</si>
  <si>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</si>
  <si>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</si>
  <si>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</si>
  <si>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</si>
  <si>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</si>
  <si>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</si>
  <si>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</si>
  <si>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</si>
  <si>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</si>
  <si>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</si>
  <si>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</si>
  <si>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организации, всего</t>
  </si>
  <si>
    <t>1.5.3</t>
  </si>
  <si>
    <t>- 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</si>
  <si>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</si>
  <si>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</si>
  <si>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</si>
  <si>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</si>
  <si>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</si>
  <si>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</si>
  <si>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</si>
  <si>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</si>
  <si>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</si>
  <si>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</si>
  <si>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</si>
  <si>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</si>
  <si>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</si>
  <si>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</si>
  <si>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</si>
  <si>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</si>
  <si>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</si>
  <si>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</si>
  <si>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1.6.4</t>
  </si>
  <si>
    <t>- денежные выплаты социального характера
(по Коллективному договору)</t>
  </si>
  <si>
    <t>4. От 670 - всего</t>
  </si>
  <si>
    <t>КЛ-6кВ, ААБл 3х50</t>
  </si>
  <si>
    <t>КТП 6/0,4кВ, 250кВА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</si>
  <si>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МУП "Тверьгорэлектро", а также на обеспечение средствами коммерческого учета электрической энергии (мощности)</t>
  </si>
  <si>
    <t>Объект электросетевого хозяйства/Средство коммерческого учета электрической энергии (мощности)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</si>
  <si>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МУП "Тверьгорэлектро"</t>
  </si>
  <si>
    <t>за 2019 год</t>
  </si>
  <si>
    <t>Данные за 2019 год</t>
  </si>
  <si>
    <t>Расходы на строительство объекта/на обеспечение средствами коммерческого учета электрической энергии (мощности), тыс.руб.</t>
  </si>
  <si>
    <t>1.3.1.3.1.1.</t>
  </si>
  <si>
    <t>ВЛ-10кВ, СИП 1х35</t>
  </si>
  <si>
    <t>2.1.2.1.2.1.</t>
  </si>
  <si>
    <t>2.1.2.1.4.1.</t>
  </si>
  <si>
    <t>2.1.2.1.1.1.</t>
  </si>
  <si>
    <t>КЛ-10кВ, ААБл 3х50</t>
  </si>
  <si>
    <t>КЛ-0,4кВ, АВБбШв 4х16</t>
  </si>
  <si>
    <t>4.1.1.2.2.</t>
  </si>
  <si>
    <t>4.2.2.5.3.</t>
  </si>
  <si>
    <t>4.1.1.3.2.</t>
  </si>
  <si>
    <t>4.2.1.2.1.</t>
  </si>
  <si>
    <t>КТП 10/0,4кВ, 40кВА</t>
  </si>
  <si>
    <t>за 2020 год</t>
  </si>
  <si>
    <t>2.1</t>
  </si>
  <si>
    <t>Выдача сетевой организацией акта от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</si>
  <si>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2.2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</si>
  <si>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</si>
  <si>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 xml:space="preserve">фактических расходов на выполнение мероприятий по технологическому присоединению, предусмотренных подпунктами "а" и "в" пункта 16 Методических указаний за 2018-2020 года МУП "Тверьгорэлектро" </t>
  </si>
  <si>
    <r>
      <t xml:space="preserve">для </t>
    </r>
    <r>
      <rPr>
        <b/>
        <sz val="12"/>
        <rFont val="Times New Roman"/>
        <family val="1"/>
        <charset val="204"/>
      </rPr>
      <t>постоянной схемы</t>
    </r>
    <r>
      <rPr>
        <sz val="12"/>
        <rFont val="Times New Roman"/>
        <family val="1"/>
        <charset val="204"/>
      </rPr>
      <t xml:space="preserve"> электроснабжения по мероприятию </t>
    </r>
    <r>
      <rPr>
        <b/>
        <sz val="12"/>
        <rFont val="Times New Roman"/>
        <family val="1"/>
        <charset val="204"/>
      </rPr>
      <t>подпункта "а" пункта 16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подготовка и выдача сетевой организацией технических условий Заявителю.</t>
    </r>
  </si>
  <si>
    <t>Данные за 2020 год</t>
  </si>
  <si>
    <r>
      <t xml:space="preserve">для </t>
    </r>
    <r>
      <rPr>
        <b/>
        <sz val="12"/>
        <rFont val="Times New Roman"/>
        <family val="1"/>
        <charset val="204"/>
      </rPr>
      <t>постоянной схемы</t>
    </r>
    <r>
      <rPr>
        <sz val="12"/>
        <rFont val="Times New Roman"/>
        <family val="1"/>
        <charset val="204"/>
      </rPr>
      <t xml:space="preserve"> электроснабжения по мероприятию </t>
    </r>
    <r>
      <rPr>
        <b/>
        <sz val="12"/>
        <rFont val="Times New Roman"/>
        <family val="1"/>
        <charset val="204"/>
      </rPr>
      <t>подпункта "в" пункта 16</t>
    </r>
    <r>
      <rPr>
        <sz val="12"/>
        <rFont val="Times New Roman"/>
        <family val="1"/>
        <charset val="204"/>
      </rPr>
      <t>: проверка сетевой организацией выполнения технических условий заявителем.</t>
    </r>
  </si>
  <si>
    <r>
      <t xml:space="preserve">для </t>
    </r>
    <r>
      <rPr>
        <b/>
        <sz val="12"/>
        <rFont val="Times New Roman"/>
        <family val="1"/>
        <charset val="204"/>
      </rPr>
      <t>постоянной схемы</t>
    </r>
    <r>
      <rPr>
        <sz val="12"/>
        <rFont val="Times New Roman"/>
        <family val="1"/>
        <charset val="204"/>
      </rPr>
      <t xml:space="preserve"> электроснабжения по мероприятию </t>
    </r>
    <r>
      <rPr>
        <b/>
        <sz val="12"/>
        <rFont val="Times New Roman"/>
        <family val="1"/>
        <charset val="204"/>
      </rPr>
      <t>подпункта "в" пункта 16</t>
    </r>
    <r>
      <rPr>
        <sz val="12"/>
        <rFont val="Times New Roman"/>
        <family val="1"/>
        <charset val="204"/>
      </rPr>
      <t xml:space="preserve">: проверка сетевой организацией выполнения технических условий заявителем:                            </t>
    </r>
    <r>
      <rPr>
        <b/>
        <sz val="12"/>
        <rFont val="Times New Roman"/>
        <family val="1"/>
        <charset val="204"/>
      </rPr>
      <t>Выдача сетевой организацией акта от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  </r>
  </si>
  <si>
    <r>
      <t xml:space="preserve">для </t>
    </r>
    <r>
      <rPr>
        <b/>
        <sz val="12"/>
        <rFont val="Times New Roman"/>
        <family val="1"/>
        <charset val="204"/>
      </rPr>
      <t>постоянной схемы</t>
    </r>
    <r>
      <rPr>
        <sz val="12"/>
        <rFont val="Times New Roman"/>
        <family val="1"/>
        <charset val="204"/>
      </rPr>
      <t xml:space="preserve"> электроснабжения по мероприятию </t>
    </r>
    <r>
      <rPr>
        <b/>
        <sz val="12"/>
        <rFont val="Times New Roman"/>
        <family val="1"/>
        <charset val="204"/>
      </rPr>
      <t>подпункта "в" пункта 16</t>
    </r>
    <r>
      <rPr>
        <sz val="12"/>
        <rFont val="Times New Roman"/>
        <family val="1"/>
        <charset val="204"/>
      </rPr>
      <t xml:space="preserve">: проверка сетевой организацией выполнения технических условий заявителем:                            </t>
    </r>
    <r>
      <rPr>
        <b/>
        <sz val="12"/>
        <rFont val="Times New Roman"/>
        <family val="1"/>
        <charset val="204"/>
      </rPr>
  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  </r>
  </si>
  <si>
    <r>
      <t xml:space="preserve">для </t>
    </r>
    <r>
      <rPr>
        <b/>
        <sz val="12"/>
        <rFont val="Times New Roman"/>
        <family val="1"/>
        <charset val="204"/>
      </rPr>
      <t>временной схемы</t>
    </r>
    <r>
      <rPr>
        <sz val="12"/>
        <rFont val="Times New Roman"/>
        <family val="1"/>
        <charset val="204"/>
      </rPr>
      <t xml:space="preserve"> электроснабжения по мероприятию </t>
    </r>
    <r>
      <rPr>
        <b/>
        <sz val="12"/>
        <rFont val="Times New Roman"/>
        <family val="1"/>
        <charset val="204"/>
      </rPr>
      <t>подпункта "а" пункта 16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подготовка и выдача сетевой организацией технических условий Заявителю.</t>
    </r>
  </si>
  <si>
    <r>
      <t xml:space="preserve">для </t>
    </r>
    <r>
      <rPr>
        <b/>
        <sz val="12"/>
        <rFont val="Times New Roman"/>
        <family val="1"/>
        <charset val="204"/>
      </rPr>
      <t>временной схемы</t>
    </r>
    <r>
      <rPr>
        <sz val="12"/>
        <rFont val="Times New Roman"/>
        <family val="1"/>
        <charset val="204"/>
      </rPr>
      <t xml:space="preserve"> электроснабжения по мероприятию </t>
    </r>
    <r>
      <rPr>
        <b/>
        <sz val="12"/>
        <rFont val="Times New Roman"/>
        <family val="1"/>
        <charset val="204"/>
      </rPr>
      <t>подпункта "в" пункта 16</t>
    </r>
    <r>
      <rPr>
        <sz val="12"/>
        <rFont val="Times New Roman"/>
        <family val="1"/>
        <charset val="204"/>
      </rPr>
      <t>: проверка сетевой организацией выполнения технических условий заявителем.</t>
    </r>
  </si>
  <si>
    <r>
      <t xml:space="preserve">для </t>
    </r>
    <r>
      <rPr>
        <b/>
        <sz val="12"/>
        <rFont val="Times New Roman"/>
        <family val="1"/>
        <charset val="204"/>
      </rPr>
      <t>временной схемы</t>
    </r>
    <r>
      <rPr>
        <sz val="12"/>
        <rFont val="Times New Roman"/>
        <family val="1"/>
        <charset val="204"/>
      </rPr>
      <t xml:space="preserve"> электроснабжения по мероприятию </t>
    </r>
    <r>
      <rPr>
        <b/>
        <sz val="12"/>
        <rFont val="Times New Roman"/>
        <family val="1"/>
        <charset val="204"/>
      </rPr>
      <t>подпункта "в" пункта 16</t>
    </r>
    <r>
      <rPr>
        <sz val="12"/>
        <rFont val="Times New Roman"/>
        <family val="1"/>
        <charset val="204"/>
      </rPr>
      <t xml:space="preserve">: проверка сетевой организацией выполнения технических условий заявителем:                                                </t>
    </r>
    <r>
      <rPr>
        <b/>
        <sz val="12"/>
        <rFont val="Times New Roman"/>
        <family val="1"/>
        <charset val="204"/>
      </rPr>
      <t>Выдача сетевой организацией акта от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  </r>
  </si>
  <si>
    <t>Протяженность (для линий электропередачи), метров/ Количество пунктов секционирования, штук/ Количество точек учета, штук</t>
  </si>
  <si>
    <t xml:space="preserve"> до 15 кВт</t>
  </si>
  <si>
    <t xml:space="preserve"> от 15 до 150 кВт</t>
  </si>
  <si>
    <t>1.3.1.3.2.1.</t>
  </si>
  <si>
    <t>ВЛ-0,4кВ, СИП 3х70+1х95</t>
  </si>
  <si>
    <t>ВЛ-0,4кВ, СИП 3х50+1х70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</si>
</sst>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0"/>
    <numFmt numFmtId="166" formatCode="#,##0.0"/>
    <numFmt numFmtId="167" formatCode="0.00000"/>
    <numFmt numFmtId="168" formatCode="0.000000000"/>
    <numFmt numFmtId="169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65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/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/>
    <xf numFmtId="4" fontId="6" fillId="2" borderId="0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Border="1" applyAlignment="1">
      <alignment horizontal="center" wrapText="1"/>
    </xf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65" fontId="4" fillId="2" borderId="0" xfId="0" applyNumberFormat="1" applyFont="1" applyFill="1"/>
    <xf numFmtId="0" fontId="6" fillId="2" borderId="0" xfId="0" applyFont="1" applyFill="1"/>
    <xf numFmtId="0" fontId="4" fillId="0" borderId="0" xfId="0" applyFont="1" applyAlignme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3" fontId="13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3" fontId="13" fillId="2" borderId="4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64" fontId="14" fillId="2" borderId="0" xfId="0" applyNumberFormat="1" applyFont="1" applyFill="1" applyAlignment="1">
      <alignment vertical="center"/>
    </xf>
    <xf numFmtId="167" fontId="13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6" fontId="14" fillId="2" borderId="0" xfId="0" applyNumberFormat="1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6" fontId="4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168" fontId="4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 vertical="center" wrapText="1" shrinkToFit="1"/>
    </xf>
    <xf numFmtId="2" fontId="17" fillId="2" borderId="0" xfId="1" applyNumberFormat="1" applyFont="1" applyFill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166" fontId="11" fillId="2" borderId="11" xfId="0" applyNumberFormat="1" applyFont="1" applyFill="1" applyBorder="1" applyAlignment="1">
      <alignment horizontal="center" vertical="center"/>
    </xf>
    <xf numFmtId="166" fontId="11" fillId="2" borderId="1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Border="1"/>
    <xf numFmtId="2" fontId="6" fillId="2" borderId="0" xfId="1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0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 shrinkToFit="1"/>
    </xf>
    <xf numFmtId="0" fontId="0" fillId="2" borderId="0" xfId="0" applyFont="1" applyFill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164" fontId="4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0" fillId="2" borderId="0" xfId="0" applyFont="1" applyFill="1" applyBorder="1" applyAlignment="1">
      <alignment wrapText="1" shrinkToFit="1"/>
    </xf>
    <xf numFmtId="0" fontId="4" fillId="2" borderId="1" xfId="0" applyFont="1" applyFill="1" applyBorder="1"/>
    <xf numFmtId="4" fontId="6" fillId="2" borderId="1" xfId="1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 wrapText="1" shrinkToFit="1"/>
    </xf>
    <xf numFmtId="0" fontId="19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6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horizontal="center" vertical="center"/>
    </xf>
    <xf numFmtId="166" fontId="13" fillId="2" borderId="2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49" fontId="11" fillId="2" borderId="5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left" vertical="center" wrapText="1"/>
    </xf>
    <xf numFmtId="166" fontId="11" fillId="2" borderId="1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9" fontId="4" fillId="2" borderId="1" xfId="1" applyNumberFormat="1" applyFont="1" applyFill="1" applyBorder="1" applyAlignment="1">
      <alignment horizontal="center" vertical="center" wrapText="1"/>
    </xf>
    <xf numFmtId="169" fontId="19" fillId="2" borderId="0" xfId="0" applyNumberFormat="1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8;&#1040;&#1053;&#1044;&#1040;&#1056;&#1058;&#1067;%20&#1056;&#1040;&#1057;&#1050;&#1056;&#1067;&#1058;&#1048;&#1071;%20&#1048;&#1053;&#1060;&#1054;&#1056;&#1052;&#1040;&#1062;&#1048;&#1048;%20&#1087;&#1086;%20&#1090;&#1077;&#1093;%20&#1087;&#1088;&#1080;&#1089;&#1086;&#1077;&#1076;%20&#1085;&#1072;%202022%20&#1053;&#1040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к станд"/>
      <sheetName val="Прил 3 к станд"/>
      <sheetName val="Прил 4 к станд"/>
      <sheetName val="Прил 5 к станд"/>
      <sheetName val="Прил 1 к мет.указ."/>
      <sheetName val="Прил 2 к мет.указ.пост"/>
      <sheetName val="Прил 2 к мет.указ.врем"/>
      <sheetName val="Прил 3 к мет.указ.пост.пп.а"/>
      <sheetName val="Прил 3 к мет.указ.пост.пп.в"/>
      <sheetName val="Прил 3 к мен.указ.пост.пп.в 2.1"/>
      <sheetName val="Прил 3 к мет.указ.пост.пп.в 2.2"/>
      <sheetName val="Прил 3 к мет.указ.врем.пп.а"/>
      <sheetName val="Прил 3 к мет.указ.врем.пп.в"/>
      <sheetName val="Прил 3 к мет.указ.врем.пп.в 2.1"/>
    </sheetNames>
    <sheetDataSet>
      <sheetData sheetId="0">
        <row r="14">
          <cell r="B14">
            <v>3339.6</v>
          </cell>
          <cell r="C14">
            <v>2590</v>
          </cell>
        </row>
        <row r="15">
          <cell r="B15">
            <v>12561.2</v>
          </cell>
          <cell r="C15">
            <v>600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39"/>
  <sheetViews>
    <sheetView tabSelected="1" zoomScale="75" zoomScaleNormal="75" zoomScaleSheetLayoutView="75" workbookViewId="0">
      <selection activeCell="E7" sqref="E7"/>
    </sheetView>
  </sheetViews>
  <sheetFormatPr defaultColWidth="8.7265625" defaultRowHeight="14.5" x14ac:dyDescent="0.35"/>
  <cols>
    <col min="1" max="1" width="30.54296875" style="88" customWidth="1"/>
    <col min="2" max="2" width="23.7265625" style="88" customWidth="1"/>
    <col min="3" max="3" width="23" style="88" customWidth="1"/>
    <col min="4" max="5" width="8.7265625" style="88"/>
    <col min="6" max="6" width="17.453125" style="88" customWidth="1"/>
    <col min="7" max="7" width="22.81640625" style="88" customWidth="1"/>
    <col min="8" max="8" width="20.54296875" style="88" customWidth="1"/>
    <col min="9" max="9" width="25" style="88" customWidth="1"/>
    <col min="10" max="16384" width="8.7265625" style="88"/>
  </cols>
  <sheetData>
    <row r="1" spans="1:11" x14ac:dyDescent="0.35">
      <c r="A1" s="9"/>
      <c r="B1" s="9" t="s">
        <v>38</v>
      </c>
      <c r="C1" s="9"/>
      <c r="D1" s="9"/>
      <c r="E1" s="9"/>
      <c r="I1" s="89"/>
      <c r="J1" s="90"/>
      <c r="K1" s="89"/>
    </row>
    <row r="2" spans="1:11" x14ac:dyDescent="0.35">
      <c r="A2" s="9"/>
      <c r="B2" s="9" t="s">
        <v>37</v>
      </c>
      <c r="C2" s="9"/>
      <c r="D2" s="9"/>
      <c r="E2" s="9"/>
      <c r="I2" s="89"/>
      <c r="J2" s="90"/>
      <c r="K2" s="89"/>
    </row>
    <row r="3" spans="1:11" x14ac:dyDescent="0.35">
      <c r="A3" s="9"/>
      <c r="B3" s="9" t="s">
        <v>36</v>
      </c>
      <c r="C3" s="9"/>
      <c r="D3" s="9"/>
      <c r="E3" s="9"/>
      <c r="I3" s="89"/>
      <c r="J3" s="90"/>
      <c r="K3" s="89"/>
    </row>
    <row r="4" spans="1:11" x14ac:dyDescent="0.35">
      <c r="A4" s="9"/>
      <c r="B4" s="9" t="s">
        <v>35</v>
      </c>
      <c r="C4" s="9"/>
      <c r="D4" s="9"/>
      <c r="E4" s="9"/>
      <c r="I4" s="89"/>
      <c r="J4" s="90"/>
      <c r="K4" s="89"/>
    </row>
    <row r="5" spans="1:11" x14ac:dyDescent="0.35">
      <c r="A5" s="9"/>
      <c r="B5" s="139"/>
      <c r="C5" s="139"/>
      <c r="D5" s="9"/>
      <c r="E5" s="9"/>
      <c r="I5" s="89"/>
      <c r="J5" s="90"/>
      <c r="K5" s="89"/>
    </row>
    <row r="6" spans="1:11" x14ac:dyDescent="0.35">
      <c r="A6" s="9"/>
      <c r="B6" s="141"/>
      <c r="C6" s="141"/>
      <c r="D6" s="9"/>
      <c r="E6" s="9"/>
      <c r="I6" s="89"/>
      <c r="J6" s="90"/>
      <c r="K6" s="89"/>
    </row>
    <row r="7" spans="1:11" x14ac:dyDescent="0.35">
      <c r="A7" s="9"/>
      <c r="B7" s="9"/>
      <c r="C7" s="9"/>
      <c r="D7" s="9"/>
      <c r="E7" s="9"/>
      <c r="I7" s="89"/>
      <c r="J7" s="90"/>
      <c r="K7" s="89"/>
    </row>
    <row r="8" spans="1:11" x14ac:dyDescent="0.35">
      <c r="A8" s="138" t="s">
        <v>33</v>
      </c>
      <c r="B8" s="139"/>
      <c r="C8" s="139"/>
      <c r="D8" s="17"/>
      <c r="E8" s="17"/>
      <c r="F8" s="91"/>
      <c r="G8" s="92"/>
      <c r="H8" s="93"/>
      <c r="I8" s="93"/>
      <c r="J8" s="91"/>
      <c r="K8" s="91"/>
    </row>
    <row r="9" spans="1:11" ht="16.5" customHeight="1" x14ac:dyDescent="0.35">
      <c r="A9" s="140" t="s">
        <v>56</v>
      </c>
      <c r="B9" s="140"/>
      <c r="C9" s="140"/>
      <c r="D9" s="17" t="s">
        <v>10</v>
      </c>
      <c r="E9" s="17"/>
      <c r="F9" s="91"/>
      <c r="G9" s="93"/>
      <c r="H9" s="93"/>
      <c r="I9" s="93"/>
      <c r="J9" s="91"/>
      <c r="K9" s="91"/>
    </row>
    <row r="10" spans="1:11" x14ac:dyDescent="0.35">
      <c r="A10" s="138" t="s">
        <v>34</v>
      </c>
      <c r="B10" s="138"/>
      <c r="C10" s="138"/>
      <c r="D10" s="17"/>
      <c r="E10" s="17"/>
      <c r="F10" s="91"/>
      <c r="G10" s="93"/>
      <c r="H10" s="93"/>
      <c r="I10" s="94"/>
      <c r="J10" s="95"/>
      <c r="K10" s="91"/>
    </row>
    <row r="11" spans="1:11" x14ac:dyDescent="0.35">
      <c r="A11" s="9"/>
      <c r="B11" s="9"/>
      <c r="C11" s="9"/>
      <c r="D11" s="9"/>
      <c r="E11" s="9"/>
      <c r="G11" s="96"/>
      <c r="H11" s="94"/>
      <c r="I11" s="7"/>
      <c r="J11" s="8"/>
      <c r="K11" s="89"/>
    </row>
    <row r="12" spans="1:11" x14ac:dyDescent="0.35">
      <c r="A12" s="9"/>
      <c r="B12" s="9"/>
      <c r="C12" s="9"/>
      <c r="D12" s="9"/>
      <c r="E12" s="9"/>
      <c r="H12" s="89"/>
      <c r="I12" s="90"/>
      <c r="J12" s="90"/>
      <c r="K12" s="89"/>
    </row>
    <row r="13" spans="1:11" ht="60.65" customHeight="1" x14ac:dyDescent="0.35">
      <c r="A13" s="67" t="s">
        <v>2</v>
      </c>
      <c r="B13" s="67" t="s">
        <v>3</v>
      </c>
      <c r="C13" s="97" t="s">
        <v>27</v>
      </c>
      <c r="D13" s="9"/>
      <c r="E13" s="9"/>
      <c r="F13" s="98"/>
      <c r="G13" s="98"/>
      <c r="H13" s="99"/>
      <c r="I13" s="99"/>
      <c r="J13" s="90"/>
      <c r="K13" s="89"/>
    </row>
    <row r="14" spans="1:11" ht="56" x14ac:dyDescent="0.35">
      <c r="A14" s="100" t="s">
        <v>31</v>
      </c>
      <c r="B14" s="101">
        <v>3339.6</v>
      </c>
      <c r="C14" s="22">
        <v>2590</v>
      </c>
      <c r="D14" s="9"/>
      <c r="E14" s="9"/>
      <c r="F14" s="102"/>
      <c r="G14" s="13"/>
      <c r="H14" s="85"/>
      <c r="I14" s="89"/>
      <c r="J14" s="90"/>
      <c r="K14" s="89"/>
    </row>
    <row r="15" spans="1:11" ht="84" x14ac:dyDescent="0.35">
      <c r="A15" s="103" t="s">
        <v>5</v>
      </c>
      <c r="B15" s="101">
        <v>12561.2</v>
      </c>
      <c r="C15" s="22">
        <v>600</v>
      </c>
      <c r="D15" s="9"/>
      <c r="E15" s="11"/>
      <c r="F15" s="104"/>
      <c r="G15" s="85"/>
      <c r="H15" s="85"/>
      <c r="I15" s="89"/>
      <c r="J15" s="90"/>
      <c r="K15" s="89"/>
    </row>
    <row r="16" spans="1:11" ht="42" x14ac:dyDescent="0.35">
      <c r="A16" s="103" t="s">
        <v>6</v>
      </c>
      <c r="B16" s="87" t="s">
        <v>4</v>
      </c>
      <c r="C16" s="87" t="s">
        <v>4</v>
      </c>
      <c r="D16" s="9"/>
      <c r="E16" s="9"/>
      <c r="J16" s="89"/>
    </row>
    <row r="17" spans="1:5" x14ac:dyDescent="0.35">
      <c r="A17" s="9"/>
      <c r="B17" s="9"/>
      <c r="C17" s="9"/>
      <c r="D17" s="9"/>
      <c r="E17" s="9"/>
    </row>
    <row r="18" spans="1:5" x14ac:dyDescent="0.35">
      <c r="A18" s="9"/>
      <c r="B18" s="9"/>
      <c r="C18" s="9"/>
      <c r="D18" s="9"/>
      <c r="E18" s="9"/>
    </row>
    <row r="19" spans="1:5" x14ac:dyDescent="0.35">
      <c r="A19" s="9"/>
      <c r="B19" s="9"/>
      <c r="C19" s="9"/>
      <c r="D19" s="9"/>
      <c r="E19" s="9"/>
    </row>
    <row r="20" spans="1:5" x14ac:dyDescent="0.35">
      <c r="A20" s="9"/>
      <c r="B20" s="9"/>
      <c r="C20" s="9"/>
      <c r="D20" s="9"/>
      <c r="E20" s="9"/>
    </row>
    <row r="21" spans="1:5" x14ac:dyDescent="0.35">
      <c r="A21" s="9"/>
      <c r="B21" s="9"/>
      <c r="C21" s="9"/>
      <c r="D21" s="9"/>
      <c r="E21" s="9"/>
    </row>
    <row r="32" spans="1:5" x14ac:dyDescent="0.35">
      <c r="A32" s="92"/>
      <c r="B32" s="93"/>
      <c r="C32" s="93"/>
    </row>
    <row r="33" spans="1:3" x14ac:dyDescent="0.35">
      <c r="A33" s="93"/>
      <c r="B33" s="93"/>
      <c r="C33" s="93"/>
    </row>
    <row r="34" spans="1:3" x14ac:dyDescent="0.35">
      <c r="A34" s="93"/>
      <c r="B34" s="93"/>
      <c r="C34" s="94"/>
    </row>
    <row r="35" spans="1:3" x14ac:dyDescent="0.35">
      <c r="A35" s="96"/>
      <c r="B35" s="94"/>
      <c r="C35" s="7"/>
    </row>
    <row r="36" spans="1:3" x14ac:dyDescent="0.35">
      <c r="B36" s="89"/>
      <c r="C36" s="90"/>
    </row>
    <row r="37" spans="1:3" x14ac:dyDescent="0.35">
      <c r="A37" s="98"/>
      <c r="B37" s="99"/>
      <c r="C37" s="99"/>
    </row>
    <row r="38" spans="1:3" x14ac:dyDescent="0.35">
      <c r="C38" s="89"/>
    </row>
    <row r="39" spans="1:3" x14ac:dyDescent="0.35">
      <c r="C39" s="89"/>
    </row>
  </sheetData>
  <mergeCells count="5">
    <mergeCell ref="A8:C8"/>
    <mergeCell ref="A9:C9"/>
    <mergeCell ref="A10:C10"/>
    <mergeCell ref="B6:C6"/>
    <mergeCell ref="B5:C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44"/>
  <sheetViews>
    <sheetView zoomScale="75" zoomScaleNormal="75" workbookViewId="0">
      <selection activeCell="F5" sqref="F5"/>
    </sheetView>
  </sheetViews>
  <sheetFormatPr defaultColWidth="9.1796875" defaultRowHeight="14" x14ac:dyDescent="0.35"/>
  <cols>
    <col min="1" max="1" width="6.7265625" style="25" customWidth="1"/>
    <col min="2" max="2" width="46.7265625" style="25" customWidth="1"/>
    <col min="3" max="5" width="12.36328125" style="25" customWidth="1"/>
    <col min="6" max="6" width="14.7265625" style="25" customWidth="1"/>
    <col min="7" max="9" width="6.36328125" style="25" customWidth="1"/>
    <col min="10" max="10" width="11.1796875" style="25" customWidth="1"/>
    <col min="11" max="16384" width="9.1796875" style="25"/>
  </cols>
  <sheetData>
    <row r="1" spans="1:10" x14ac:dyDescent="0.35">
      <c r="E1" s="109" t="s">
        <v>96</v>
      </c>
    </row>
    <row r="2" spans="1:10" ht="59" customHeight="1" x14ac:dyDescent="0.35">
      <c r="C2" s="149" t="s">
        <v>58</v>
      </c>
      <c r="D2" s="149"/>
      <c r="E2" s="149"/>
    </row>
    <row r="3" spans="1:10" x14ac:dyDescent="0.35">
      <c r="A3" s="110"/>
      <c r="B3" s="110"/>
    </row>
    <row r="4" spans="1:10" ht="15.5" x14ac:dyDescent="0.35">
      <c r="A4" s="156" t="s">
        <v>97</v>
      </c>
      <c r="B4" s="156"/>
      <c r="C4" s="156"/>
      <c r="D4" s="156"/>
      <c r="E4" s="156"/>
    </row>
    <row r="5" spans="1:10" ht="47" customHeight="1" x14ac:dyDescent="0.35">
      <c r="A5" s="150" t="s">
        <v>164</v>
      </c>
      <c r="B5" s="150"/>
      <c r="C5" s="150"/>
      <c r="D5" s="150"/>
      <c r="E5" s="150"/>
    </row>
    <row r="6" spans="1:10" ht="86" customHeight="1" x14ac:dyDescent="0.35">
      <c r="A6" s="151" t="s">
        <v>168</v>
      </c>
      <c r="B6" s="151"/>
      <c r="C6" s="151"/>
      <c r="D6" s="151"/>
      <c r="E6" s="151"/>
    </row>
    <row r="7" spans="1:10" ht="14.5" thickBot="1" x14ac:dyDescent="0.4">
      <c r="A7" s="27"/>
      <c r="B7" s="27"/>
      <c r="C7" s="27"/>
      <c r="D7" s="27"/>
      <c r="E7" s="111" t="s">
        <v>98</v>
      </c>
    </row>
    <row r="8" spans="1:10" ht="14" customHeight="1" x14ac:dyDescent="0.35">
      <c r="A8" s="157" t="s">
        <v>80</v>
      </c>
      <c r="B8" s="157" t="s">
        <v>99</v>
      </c>
      <c r="C8" s="157" t="s">
        <v>166</v>
      </c>
      <c r="D8" s="157" t="s">
        <v>145</v>
      </c>
      <c r="E8" s="157" t="s">
        <v>100</v>
      </c>
    </row>
    <row r="9" spans="1:10" ht="14.5" thickBot="1" x14ac:dyDescent="0.4">
      <c r="A9" s="158"/>
      <c r="B9" s="158"/>
      <c r="C9" s="158"/>
      <c r="D9" s="158"/>
      <c r="E9" s="159"/>
      <c r="G9" s="48"/>
      <c r="H9" s="48"/>
      <c r="I9" s="48"/>
      <c r="J9" s="49"/>
    </row>
    <row r="10" spans="1:10" ht="16" thickBot="1" x14ac:dyDescent="0.4">
      <c r="A10" s="128">
        <v>1</v>
      </c>
      <c r="B10" s="128">
        <v>2</v>
      </c>
      <c r="C10" s="129">
        <v>3</v>
      </c>
      <c r="D10" s="129">
        <v>4</v>
      </c>
      <c r="E10" s="129">
        <v>5</v>
      </c>
      <c r="F10" s="28"/>
      <c r="G10" s="28"/>
    </row>
    <row r="11" spans="1:10" ht="31" x14ac:dyDescent="0.35">
      <c r="A11" s="130" t="s">
        <v>86</v>
      </c>
      <c r="B11" s="131" t="s">
        <v>101</v>
      </c>
      <c r="C11" s="80">
        <f t="shared" ref="C11:E11" si="0">C12+C13+C14+C15+C16+C25</f>
        <v>2505.5</v>
      </c>
      <c r="D11" s="80">
        <f t="shared" si="0"/>
        <v>0</v>
      </c>
      <c r="E11" s="80">
        <f t="shared" si="0"/>
        <v>0</v>
      </c>
      <c r="F11" s="28"/>
      <c r="G11" s="50"/>
      <c r="H11" s="50"/>
      <c r="I11" s="50"/>
      <c r="J11" s="51"/>
    </row>
    <row r="12" spans="1:10" ht="15.5" x14ac:dyDescent="0.35">
      <c r="A12" s="132" t="s">
        <v>102</v>
      </c>
      <c r="B12" s="133" t="s">
        <v>103</v>
      </c>
      <c r="C12" s="81">
        <v>14.6</v>
      </c>
      <c r="D12" s="81"/>
      <c r="E12" s="81"/>
      <c r="F12" s="28"/>
      <c r="G12" s="50"/>
      <c r="H12" s="50"/>
      <c r="I12" s="50"/>
      <c r="J12" s="52"/>
    </row>
    <row r="13" spans="1:10" ht="15.5" x14ac:dyDescent="0.35">
      <c r="A13" s="132" t="s">
        <v>104</v>
      </c>
      <c r="B13" s="133" t="s">
        <v>105</v>
      </c>
      <c r="C13" s="81">
        <v>3</v>
      </c>
      <c r="D13" s="81"/>
      <c r="E13" s="81"/>
      <c r="F13" s="28"/>
      <c r="G13" s="50"/>
      <c r="H13" s="50"/>
      <c r="I13" s="50"/>
      <c r="J13" s="52"/>
    </row>
    <row r="14" spans="1:10" ht="15.5" x14ac:dyDescent="0.35">
      <c r="A14" s="132" t="s">
        <v>106</v>
      </c>
      <c r="B14" s="133" t="s">
        <v>107</v>
      </c>
      <c r="C14" s="81">
        <v>1777.6</v>
      </c>
      <c r="D14" s="81"/>
      <c r="E14" s="81"/>
      <c r="G14" s="50"/>
      <c r="H14" s="50"/>
      <c r="I14" s="50"/>
      <c r="J14" s="52"/>
    </row>
    <row r="15" spans="1:10" ht="15.5" x14ac:dyDescent="0.35">
      <c r="A15" s="132" t="s">
        <v>108</v>
      </c>
      <c r="B15" s="133" t="s">
        <v>109</v>
      </c>
      <c r="C15" s="81">
        <v>543</v>
      </c>
      <c r="D15" s="81"/>
      <c r="E15" s="81"/>
      <c r="F15" s="53"/>
      <c r="G15" s="50"/>
      <c r="H15" s="50"/>
      <c r="I15" s="50"/>
      <c r="J15" s="52"/>
    </row>
    <row r="16" spans="1:10" ht="15.5" x14ac:dyDescent="0.35">
      <c r="A16" s="132" t="s">
        <v>110</v>
      </c>
      <c r="B16" s="133" t="s">
        <v>111</v>
      </c>
      <c r="C16" s="81">
        <f t="shared" ref="C16:E16" si="1">C17+C18+C19</f>
        <v>151.80000000000001</v>
      </c>
      <c r="D16" s="81">
        <f t="shared" si="1"/>
        <v>0</v>
      </c>
      <c r="E16" s="81">
        <f t="shared" si="1"/>
        <v>0</v>
      </c>
      <c r="F16" s="54"/>
      <c r="G16" s="50"/>
      <c r="H16" s="50"/>
      <c r="I16" s="50"/>
      <c r="J16" s="52"/>
    </row>
    <row r="17" spans="1:10" ht="31" x14ac:dyDescent="0.35">
      <c r="A17" s="132" t="s">
        <v>112</v>
      </c>
      <c r="B17" s="134" t="s">
        <v>113</v>
      </c>
      <c r="C17" s="81">
        <v>0.1</v>
      </c>
      <c r="D17" s="81"/>
      <c r="E17" s="81"/>
      <c r="F17" s="28"/>
      <c r="G17" s="50"/>
      <c r="H17" s="50"/>
      <c r="I17" s="50"/>
      <c r="J17" s="52"/>
    </row>
    <row r="18" spans="1:10" ht="46.5" x14ac:dyDescent="0.35">
      <c r="A18" s="132" t="s">
        <v>114</v>
      </c>
      <c r="B18" s="134" t="s">
        <v>115</v>
      </c>
      <c r="C18" s="81">
        <v>16.8</v>
      </c>
      <c r="D18" s="81"/>
      <c r="E18" s="81"/>
      <c r="G18" s="50"/>
      <c r="H18" s="50"/>
      <c r="I18" s="50"/>
      <c r="J18" s="52"/>
    </row>
    <row r="19" spans="1:10" ht="26" customHeight="1" x14ac:dyDescent="0.35">
      <c r="A19" s="132" t="s">
        <v>116</v>
      </c>
      <c r="B19" s="134" t="s">
        <v>117</v>
      </c>
      <c r="C19" s="81">
        <f t="shared" ref="C19:E19" si="2">C20+C21+C22+C23+C24</f>
        <v>134.9</v>
      </c>
      <c r="D19" s="81">
        <f t="shared" si="2"/>
        <v>0</v>
      </c>
      <c r="E19" s="81">
        <f t="shared" si="2"/>
        <v>0</v>
      </c>
      <c r="G19" s="50"/>
      <c r="H19" s="50"/>
      <c r="I19" s="50"/>
      <c r="J19" s="52"/>
    </row>
    <row r="20" spans="1:10" ht="15.5" x14ac:dyDescent="0.35">
      <c r="A20" s="132" t="s">
        <v>118</v>
      </c>
      <c r="B20" s="133" t="s">
        <v>119</v>
      </c>
      <c r="C20" s="81">
        <v>1.9</v>
      </c>
      <c r="D20" s="81"/>
      <c r="E20" s="81"/>
      <c r="G20" s="50"/>
      <c r="H20" s="50"/>
      <c r="I20" s="50"/>
      <c r="J20" s="52"/>
    </row>
    <row r="21" spans="1:10" ht="15.5" x14ac:dyDescent="0.35">
      <c r="A21" s="132" t="s">
        <v>120</v>
      </c>
      <c r="B21" s="133" t="s">
        <v>121</v>
      </c>
      <c r="C21" s="81"/>
      <c r="D21" s="81"/>
      <c r="E21" s="81"/>
      <c r="G21" s="50"/>
      <c r="H21" s="50"/>
      <c r="I21" s="50"/>
      <c r="J21" s="52"/>
    </row>
    <row r="22" spans="1:10" ht="46.5" x14ac:dyDescent="0.35">
      <c r="A22" s="132" t="s">
        <v>122</v>
      </c>
      <c r="B22" s="133" t="s">
        <v>123</v>
      </c>
      <c r="C22" s="81">
        <v>1.7</v>
      </c>
      <c r="D22" s="81"/>
      <c r="E22" s="81"/>
      <c r="G22" s="50"/>
      <c r="H22" s="50"/>
      <c r="I22" s="50"/>
      <c r="J22" s="52"/>
    </row>
    <row r="23" spans="1:10" ht="15.5" x14ac:dyDescent="0.35">
      <c r="A23" s="132" t="s">
        <v>124</v>
      </c>
      <c r="B23" s="133" t="s">
        <v>125</v>
      </c>
      <c r="C23" s="81">
        <v>0.3</v>
      </c>
      <c r="D23" s="81"/>
      <c r="E23" s="81"/>
      <c r="G23" s="50"/>
      <c r="H23" s="50"/>
      <c r="I23" s="50"/>
      <c r="J23" s="52"/>
    </row>
    <row r="24" spans="1:10" ht="31" x14ac:dyDescent="0.35">
      <c r="A24" s="132" t="s">
        <v>126</v>
      </c>
      <c r="B24" s="133" t="s">
        <v>127</v>
      </c>
      <c r="C24" s="81">
        <v>131</v>
      </c>
      <c r="D24" s="81"/>
      <c r="E24" s="81"/>
      <c r="G24" s="50"/>
      <c r="H24" s="50"/>
      <c r="I24" s="50"/>
      <c r="J24" s="52"/>
    </row>
    <row r="25" spans="1:10" ht="15.5" x14ac:dyDescent="0.35">
      <c r="A25" s="132" t="s">
        <v>128</v>
      </c>
      <c r="B25" s="133" t="s">
        <v>129</v>
      </c>
      <c r="C25" s="81">
        <f t="shared" ref="C25:D25" si="3">SUM(C26:C29)</f>
        <v>15.5</v>
      </c>
      <c r="D25" s="81">
        <f t="shared" si="3"/>
        <v>0</v>
      </c>
      <c r="E25" s="81">
        <f t="shared" ref="E25" si="4">SUM(E26:E29)</f>
        <v>0</v>
      </c>
    </row>
    <row r="26" spans="1:10" ht="15.5" x14ac:dyDescent="0.35">
      <c r="A26" s="132" t="s">
        <v>130</v>
      </c>
      <c r="B26" s="134" t="s">
        <v>131</v>
      </c>
      <c r="C26" s="81"/>
      <c r="D26" s="81"/>
      <c r="E26" s="81"/>
      <c r="H26" s="55"/>
    </row>
    <row r="27" spans="1:10" ht="15.5" x14ac:dyDescent="0.35">
      <c r="A27" s="132" t="s">
        <v>132</v>
      </c>
      <c r="B27" s="134" t="s">
        <v>133</v>
      </c>
      <c r="C27" s="81"/>
      <c r="D27" s="81"/>
      <c r="E27" s="81"/>
    </row>
    <row r="28" spans="1:10" ht="15.5" x14ac:dyDescent="0.35">
      <c r="A28" s="132" t="s">
        <v>134</v>
      </c>
      <c r="B28" s="134" t="s">
        <v>135</v>
      </c>
      <c r="C28" s="81">
        <v>15.5</v>
      </c>
      <c r="D28" s="81"/>
      <c r="E28" s="81"/>
    </row>
    <row r="29" spans="1:10" ht="31.5" thickBot="1" x14ac:dyDescent="0.4">
      <c r="A29" s="135" t="s">
        <v>136</v>
      </c>
      <c r="B29" s="136" t="s">
        <v>137</v>
      </c>
      <c r="C29" s="137"/>
      <c r="D29" s="137"/>
      <c r="E29" s="137"/>
    </row>
    <row r="30" spans="1:10" x14ac:dyDescent="0.35">
      <c r="A30" s="34"/>
      <c r="B30" s="34"/>
      <c r="C30" s="34"/>
      <c r="D30" s="34"/>
      <c r="E30" s="35"/>
      <c r="F30" s="36"/>
      <c r="G30" s="36"/>
    </row>
    <row r="31" spans="1:10" x14ac:dyDescent="0.35">
      <c r="B31" s="56"/>
      <c r="C31" s="35"/>
      <c r="D31" s="39"/>
      <c r="E31" s="57"/>
      <c r="F31" s="36"/>
      <c r="G31" s="36"/>
    </row>
    <row r="36" spans="5:9" x14ac:dyDescent="0.35">
      <c r="G36" s="59"/>
      <c r="H36" s="36"/>
      <c r="I36" s="36"/>
    </row>
    <row r="37" spans="5:9" x14ac:dyDescent="0.35">
      <c r="G37" s="59"/>
      <c r="H37" s="36"/>
      <c r="I37" s="36"/>
    </row>
    <row r="38" spans="5:9" x14ac:dyDescent="0.35">
      <c r="G38" s="60"/>
      <c r="H38" s="36"/>
    </row>
    <row r="39" spans="5:9" x14ac:dyDescent="0.35">
      <c r="G39" s="52"/>
    </row>
    <row r="40" spans="5:9" x14ac:dyDescent="0.35">
      <c r="E40" s="61"/>
      <c r="G40" s="62"/>
    </row>
    <row r="41" spans="5:9" x14ac:dyDescent="0.35">
      <c r="F41" s="63"/>
    </row>
    <row r="44" spans="5:9" x14ac:dyDescent="0.35">
      <c r="E44" s="61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44"/>
  <sheetViews>
    <sheetView zoomScale="75" zoomScaleNormal="75" workbookViewId="0">
      <selection activeCell="G10" sqref="G10"/>
    </sheetView>
  </sheetViews>
  <sheetFormatPr defaultColWidth="9.1796875" defaultRowHeight="14" x14ac:dyDescent="0.35"/>
  <cols>
    <col min="1" max="1" width="6.7265625" style="25" customWidth="1"/>
    <col min="2" max="2" width="46.7265625" style="25" customWidth="1"/>
    <col min="3" max="5" width="12.36328125" style="25" customWidth="1"/>
    <col min="6" max="6" width="14.7265625" style="25" customWidth="1"/>
    <col min="7" max="9" width="6.36328125" style="25" customWidth="1"/>
    <col min="10" max="10" width="11.1796875" style="25" customWidth="1"/>
    <col min="11" max="16384" width="9.1796875" style="25"/>
  </cols>
  <sheetData>
    <row r="1" spans="1:10" x14ac:dyDescent="0.35">
      <c r="E1" s="109" t="s">
        <v>96</v>
      </c>
    </row>
    <row r="2" spans="1:10" ht="59" customHeight="1" x14ac:dyDescent="0.35">
      <c r="C2" s="149" t="s">
        <v>58</v>
      </c>
      <c r="D2" s="149"/>
      <c r="E2" s="149"/>
    </row>
    <row r="3" spans="1:10" x14ac:dyDescent="0.35">
      <c r="A3" s="110"/>
      <c r="B3" s="110"/>
    </row>
    <row r="4" spans="1:10" ht="15.5" x14ac:dyDescent="0.35">
      <c r="A4" s="156" t="s">
        <v>97</v>
      </c>
      <c r="B4" s="156"/>
      <c r="C4" s="156"/>
      <c r="D4" s="156"/>
      <c r="E4" s="156"/>
    </row>
    <row r="5" spans="1:10" ht="47" customHeight="1" x14ac:dyDescent="0.35">
      <c r="A5" s="150" t="s">
        <v>164</v>
      </c>
      <c r="B5" s="150"/>
      <c r="C5" s="150"/>
      <c r="D5" s="150"/>
      <c r="E5" s="150"/>
    </row>
    <row r="6" spans="1:10" ht="79" customHeight="1" x14ac:dyDescent="0.35">
      <c r="A6" s="151" t="s">
        <v>169</v>
      </c>
      <c r="B6" s="151"/>
      <c r="C6" s="151"/>
      <c r="D6" s="151"/>
      <c r="E6" s="151"/>
    </row>
    <row r="7" spans="1:10" ht="14.5" thickBot="1" x14ac:dyDescent="0.4">
      <c r="A7" s="27"/>
      <c r="B7" s="27"/>
      <c r="C7" s="27"/>
      <c r="D7" s="27"/>
      <c r="E7" s="111" t="s">
        <v>98</v>
      </c>
    </row>
    <row r="8" spans="1:10" ht="14" customHeight="1" x14ac:dyDescent="0.35">
      <c r="A8" s="157" t="s">
        <v>80</v>
      </c>
      <c r="B8" s="157" t="s">
        <v>99</v>
      </c>
      <c r="C8" s="157" t="s">
        <v>166</v>
      </c>
      <c r="D8" s="157" t="s">
        <v>145</v>
      </c>
      <c r="E8" s="157" t="s">
        <v>100</v>
      </c>
    </row>
    <row r="9" spans="1:10" ht="14.5" thickBot="1" x14ac:dyDescent="0.4">
      <c r="A9" s="158"/>
      <c r="B9" s="158"/>
      <c r="C9" s="158"/>
      <c r="D9" s="158"/>
      <c r="E9" s="159"/>
      <c r="G9" s="48"/>
      <c r="H9" s="48"/>
      <c r="I9" s="48"/>
      <c r="J9" s="49"/>
    </row>
    <row r="10" spans="1:10" ht="16" thickBot="1" x14ac:dyDescent="0.4">
      <c r="A10" s="128">
        <v>1</v>
      </c>
      <c r="B10" s="128">
        <v>2</v>
      </c>
      <c r="C10" s="129">
        <v>3</v>
      </c>
      <c r="D10" s="129">
        <v>4</v>
      </c>
      <c r="E10" s="129">
        <v>5</v>
      </c>
      <c r="F10" s="28"/>
      <c r="G10" s="28"/>
    </row>
    <row r="11" spans="1:10" ht="31" x14ac:dyDescent="0.35">
      <c r="A11" s="130" t="s">
        <v>86</v>
      </c>
      <c r="B11" s="131" t="s">
        <v>101</v>
      </c>
      <c r="C11" s="80">
        <f t="shared" ref="C11:E11" si="0">C12+C13+C14+C15+C16+C25</f>
        <v>482.6</v>
      </c>
      <c r="D11" s="80">
        <f t="shared" si="0"/>
        <v>0</v>
      </c>
      <c r="E11" s="80">
        <f t="shared" si="0"/>
        <v>0</v>
      </c>
      <c r="F11" s="28"/>
      <c r="G11" s="50"/>
      <c r="H11" s="50"/>
      <c r="I11" s="50"/>
      <c r="J11" s="51"/>
    </row>
    <row r="12" spans="1:10" ht="15.5" x14ac:dyDescent="0.35">
      <c r="A12" s="132" t="s">
        <v>102</v>
      </c>
      <c r="B12" s="133" t="s">
        <v>103</v>
      </c>
      <c r="C12" s="81">
        <v>5</v>
      </c>
      <c r="D12" s="81"/>
      <c r="E12" s="81"/>
      <c r="F12" s="28"/>
      <c r="G12" s="50"/>
      <c r="H12" s="50"/>
      <c r="I12" s="50"/>
      <c r="J12" s="52"/>
    </row>
    <row r="13" spans="1:10" ht="15.5" x14ac:dyDescent="0.35">
      <c r="A13" s="132" t="s">
        <v>104</v>
      </c>
      <c r="B13" s="133" t="s">
        <v>105</v>
      </c>
      <c r="C13" s="81">
        <v>9.6</v>
      </c>
      <c r="D13" s="81"/>
      <c r="E13" s="81"/>
      <c r="F13" s="28"/>
      <c r="G13" s="50"/>
      <c r="H13" s="50"/>
      <c r="I13" s="50"/>
      <c r="J13" s="52"/>
    </row>
    <row r="14" spans="1:10" ht="15.5" x14ac:dyDescent="0.35">
      <c r="A14" s="132" t="s">
        <v>106</v>
      </c>
      <c r="B14" s="133" t="s">
        <v>107</v>
      </c>
      <c r="C14" s="81">
        <v>217.7</v>
      </c>
      <c r="D14" s="81"/>
      <c r="E14" s="81"/>
      <c r="G14" s="50"/>
      <c r="H14" s="50"/>
      <c r="I14" s="50"/>
      <c r="J14" s="52"/>
    </row>
    <row r="15" spans="1:10" ht="15.5" x14ac:dyDescent="0.35">
      <c r="A15" s="132" t="s">
        <v>108</v>
      </c>
      <c r="B15" s="133" t="s">
        <v>109</v>
      </c>
      <c r="C15" s="81">
        <v>65.7</v>
      </c>
      <c r="D15" s="81"/>
      <c r="E15" s="81"/>
      <c r="F15" s="53"/>
      <c r="G15" s="50"/>
      <c r="H15" s="50"/>
      <c r="I15" s="50"/>
      <c r="J15" s="52"/>
    </row>
    <row r="16" spans="1:10" ht="15.5" x14ac:dyDescent="0.35">
      <c r="A16" s="132" t="s">
        <v>110</v>
      </c>
      <c r="B16" s="133" t="s">
        <v>111</v>
      </c>
      <c r="C16" s="81">
        <f t="shared" ref="C16:E16" si="1">C17+C18+C19</f>
        <v>136.5</v>
      </c>
      <c r="D16" s="81">
        <f t="shared" si="1"/>
        <v>0</v>
      </c>
      <c r="E16" s="81">
        <f t="shared" si="1"/>
        <v>0</v>
      </c>
      <c r="F16" s="54"/>
      <c r="G16" s="50"/>
      <c r="H16" s="50"/>
      <c r="I16" s="50"/>
      <c r="J16" s="52"/>
    </row>
    <row r="17" spans="1:10" ht="31" x14ac:dyDescent="0.35">
      <c r="A17" s="132" t="s">
        <v>112</v>
      </c>
      <c r="B17" s="134" t="s">
        <v>113</v>
      </c>
      <c r="C17" s="81">
        <v>0.3</v>
      </c>
      <c r="D17" s="81"/>
      <c r="E17" s="81"/>
      <c r="F17" s="28"/>
      <c r="G17" s="50"/>
      <c r="H17" s="50"/>
      <c r="I17" s="50"/>
      <c r="J17" s="52"/>
    </row>
    <row r="18" spans="1:10" ht="46.5" x14ac:dyDescent="0.35">
      <c r="A18" s="132" t="s">
        <v>114</v>
      </c>
      <c r="B18" s="134" t="s">
        <v>115</v>
      </c>
      <c r="C18" s="81">
        <v>51.8</v>
      </c>
      <c r="D18" s="81"/>
      <c r="E18" s="81"/>
      <c r="G18" s="50"/>
      <c r="H18" s="50"/>
      <c r="I18" s="50"/>
      <c r="J18" s="52"/>
    </row>
    <row r="19" spans="1:10" ht="26" customHeight="1" x14ac:dyDescent="0.35">
      <c r="A19" s="132" t="s">
        <v>116</v>
      </c>
      <c r="B19" s="134" t="s">
        <v>117</v>
      </c>
      <c r="C19" s="81">
        <f t="shared" ref="C19:E19" si="2">C20+C21+C22+C23+C24</f>
        <v>84.4</v>
      </c>
      <c r="D19" s="81">
        <f t="shared" si="2"/>
        <v>0</v>
      </c>
      <c r="E19" s="81">
        <f t="shared" si="2"/>
        <v>0</v>
      </c>
      <c r="G19" s="50"/>
      <c r="H19" s="50"/>
      <c r="I19" s="50"/>
      <c r="J19" s="52"/>
    </row>
    <row r="20" spans="1:10" ht="15.5" x14ac:dyDescent="0.35">
      <c r="A20" s="132" t="s">
        <v>118</v>
      </c>
      <c r="B20" s="133" t="s">
        <v>119</v>
      </c>
      <c r="C20" s="81">
        <v>6</v>
      </c>
      <c r="D20" s="81"/>
      <c r="E20" s="81"/>
      <c r="G20" s="50"/>
      <c r="H20" s="50"/>
      <c r="I20" s="50"/>
      <c r="J20" s="52"/>
    </row>
    <row r="21" spans="1:10" ht="15.5" x14ac:dyDescent="0.35">
      <c r="A21" s="132" t="s">
        <v>120</v>
      </c>
      <c r="B21" s="133" t="s">
        <v>121</v>
      </c>
      <c r="C21" s="81"/>
      <c r="D21" s="81"/>
      <c r="E21" s="81"/>
      <c r="G21" s="50"/>
      <c r="H21" s="50"/>
      <c r="I21" s="50"/>
      <c r="J21" s="52"/>
    </row>
    <row r="22" spans="1:10" ht="46.5" x14ac:dyDescent="0.35">
      <c r="A22" s="132" t="s">
        <v>122</v>
      </c>
      <c r="B22" s="133" t="s">
        <v>123</v>
      </c>
      <c r="C22" s="81">
        <v>5.2</v>
      </c>
      <c r="D22" s="81"/>
      <c r="E22" s="81"/>
      <c r="G22" s="50"/>
      <c r="H22" s="50"/>
      <c r="I22" s="50"/>
      <c r="J22" s="52"/>
    </row>
    <row r="23" spans="1:10" ht="15.5" x14ac:dyDescent="0.35">
      <c r="A23" s="132" t="s">
        <v>124</v>
      </c>
      <c r="B23" s="133" t="s">
        <v>125</v>
      </c>
      <c r="C23" s="81">
        <v>0.8</v>
      </c>
      <c r="D23" s="81"/>
      <c r="E23" s="81"/>
      <c r="G23" s="50"/>
      <c r="H23" s="50"/>
      <c r="I23" s="50"/>
      <c r="J23" s="52"/>
    </row>
    <row r="24" spans="1:10" ht="31" x14ac:dyDescent="0.35">
      <c r="A24" s="132" t="s">
        <v>126</v>
      </c>
      <c r="B24" s="133" t="s">
        <v>127</v>
      </c>
      <c r="C24" s="81">
        <v>72.400000000000006</v>
      </c>
      <c r="D24" s="81"/>
      <c r="E24" s="81"/>
      <c r="G24" s="50"/>
      <c r="H24" s="50"/>
      <c r="I24" s="50"/>
      <c r="J24" s="52"/>
    </row>
    <row r="25" spans="1:10" ht="15.5" x14ac:dyDescent="0.35">
      <c r="A25" s="132" t="s">
        <v>128</v>
      </c>
      <c r="B25" s="133" t="s">
        <v>129</v>
      </c>
      <c r="C25" s="81">
        <f t="shared" ref="C25:D25" si="3">SUM(C26:C29)</f>
        <v>48.1</v>
      </c>
      <c r="D25" s="81">
        <f t="shared" si="3"/>
        <v>0</v>
      </c>
      <c r="E25" s="81">
        <f t="shared" ref="E25" si="4">SUM(E26:E29)</f>
        <v>0</v>
      </c>
    </row>
    <row r="26" spans="1:10" ht="15.5" x14ac:dyDescent="0.35">
      <c r="A26" s="132" t="s">
        <v>130</v>
      </c>
      <c r="B26" s="134" t="s">
        <v>131</v>
      </c>
      <c r="C26" s="81"/>
      <c r="D26" s="81"/>
      <c r="E26" s="81"/>
      <c r="H26" s="55"/>
    </row>
    <row r="27" spans="1:10" ht="15.5" x14ac:dyDescent="0.35">
      <c r="A27" s="132" t="s">
        <v>132</v>
      </c>
      <c r="B27" s="134" t="s">
        <v>133</v>
      </c>
      <c r="C27" s="81"/>
      <c r="D27" s="81"/>
      <c r="E27" s="81"/>
    </row>
    <row r="28" spans="1:10" ht="15.5" x14ac:dyDescent="0.35">
      <c r="A28" s="132" t="s">
        <v>134</v>
      </c>
      <c r="B28" s="134" t="s">
        <v>135</v>
      </c>
      <c r="C28" s="81">
        <v>48.1</v>
      </c>
      <c r="D28" s="81"/>
      <c r="E28" s="81"/>
    </row>
    <row r="29" spans="1:10" ht="31.5" thickBot="1" x14ac:dyDescent="0.4">
      <c r="A29" s="135" t="s">
        <v>136</v>
      </c>
      <c r="B29" s="136" t="s">
        <v>137</v>
      </c>
      <c r="C29" s="137"/>
      <c r="D29" s="137"/>
      <c r="E29" s="137"/>
    </row>
    <row r="30" spans="1:10" x14ac:dyDescent="0.35">
      <c r="A30" s="34"/>
      <c r="B30" s="34"/>
      <c r="C30" s="34"/>
      <c r="D30" s="34"/>
      <c r="E30" s="35"/>
      <c r="F30" s="36"/>
      <c r="G30" s="36"/>
    </row>
    <row r="31" spans="1:10" x14ac:dyDescent="0.35">
      <c r="B31" s="56"/>
      <c r="C31" s="35"/>
      <c r="D31" s="39"/>
      <c r="E31" s="57"/>
      <c r="F31" s="36"/>
      <c r="G31" s="36"/>
    </row>
    <row r="36" spans="5:9" x14ac:dyDescent="0.35">
      <c r="G36" s="59"/>
      <c r="H36" s="36"/>
      <c r="I36" s="36"/>
    </row>
    <row r="37" spans="5:9" x14ac:dyDescent="0.35">
      <c r="G37" s="59"/>
      <c r="H37" s="36"/>
      <c r="I37" s="36"/>
    </row>
    <row r="38" spans="5:9" x14ac:dyDescent="0.35">
      <c r="G38" s="60"/>
      <c r="H38" s="36"/>
    </row>
    <row r="39" spans="5:9" x14ac:dyDescent="0.35">
      <c r="G39" s="52"/>
    </row>
    <row r="40" spans="5:9" x14ac:dyDescent="0.35">
      <c r="E40" s="61"/>
      <c r="G40" s="62"/>
    </row>
    <row r="41" spans="5:9" x14ac:dyDescent="0.35">
      <c r="F41" s="63"/>
    </row>
    <row r="44" spans="5:9" x14ac:dyDescent="0.35">
      <c r="E44" s="61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44"/>
  <sheetViews>
    <sheetView zoomScale="75" zoomScaleNormal="75" workbookViewId="0">
      <selection activeCell="J7" sqref="J7"/>
    </sheetView>
  </sheetViews>
  <sheetFormatPr defaultColWidth="9.1796875" defaultRowHeight="14" x14ac:dyDescent="0.35"/>
  <cols>
    <col min="1" max="1" width="6.7265625" style="25" customWidth="1"/>
    <col min="2" max="2" width="46.7265625" style="25" customWidth="1"/>
    <col min="3" max="5" width="12.36328125" style="25" customWidth="1"/>
    <col min="6" max="6" width="14.7265625" style="25" customWidth="1"/>
    <col min="7" max="9" width="4.81640625" style="25" customWidth="1"/>
    <col min="10" max="16384" width="9.1796875" style="25"/>
  </cols>
  <sheetData>
    <row r="1" spans="1:10" x14ac:dyDescent="0.35">
      <c r="E1" s="109" t="s">
        <v>96</v>
      </c>
    </row>
    <row r="2" spans="1:10" ht="65" customHeight="1" x14ac:dyDescent="0.35">
      <c r="C2" s="149" t="s">
        <v>58</v>
      </c>
      <c r="D2" s="149"/>
      <c r="E2" s="149"/>
    </row>
    <row r="3" spans="1:10" x14ac:dyDescent="0.35">
      <c r="A3" s="110"/>
      <c r="B3" s="110"/>
    </row>
    <row r="4" spans="1:10" ht="15.5" x14ac:dyDescent="0.35">
      <c r="A4" s="156" t="s">
        <v>97</v>
      </c>
      <c r="B4" s="156"/>
      <c r="C4" s="156"/>
      <c r="D4" s="156"/>
      <c r="E4" s="156"/>
    </row>
    <row r="5" spans="1:10" ht="47.5" customHeight="1" x14ac:dyDescent="0.35">
      <c r="A5" s="150" t="s">
        <v>164</v>
      </c>
      <c r="B5" s="150"/>
      <c r="C5" s="150"/>
      <c r="D5" s="150"/>
      <c r="E5" s="150"/>
    </row>
    <row r="6" spans="1:10" ht="47.5" customHeight="1" x14ac:dyDescent="0.35">
      <c r="A6" s="151" t="s">
        <v>170</v>
      </c>
      <c r="B6" s="151"/>
      <c r="C6" s="151"/>
      <c r="D6" s="151"/>
      <c r="E6" s="151"/>
    </row>
    <row r="7" spans="1:10" ht="14.5" thickBot="1" x14ac:dyDescent="0.4">
      <c r="A7" s="27"/>
      <c r="B7" s="27"/>
      <c r="C7" s="27"/>
      <c r="D7" s="27"/>
      <c r="E7" s="111" t="s">
        <v>98</v>
      </c>
    </row>
    <row r="8" spans="1:10" ht="14" customHeight="1" x14ac:dyDescent="0.35">
      <c r="A8" s="157" t="s">
        <v>80</v>
      </c>
      <c r="B8" s="157" t="s">
        <v>99</v>
      </c>
      <c r="C8" s="157" t="s">
        <v>166</v>
      </c>
      <c r="D8" s="157" t="s">
        <v>145</v>
      </c>
      <c r="E8" s="157" t="s">
        <v>100</v>
      </c>
    </row>
    <row r="9" spans="1:10" ht="14.5" thickBot="1" x14ac:dyDescent="0.4">
      <c r="A9" s="158"/>
      <c r="B9" s="158"/>
      <c r="C9" s="158"/>
      <c r="D9" s="158"/>
      <c r="E9" s="159"/>
      <c r="G9" s="48"/>
      <c r="H9" s="48"/>
      <c r="I9" s="48"/>
      <c r="J9" s="49"/>
    </row>
    <row r="10" spans="1:10" ht="16" thickBot="1" x14ac:dyDescent="0.4">
      <c r="A10" s="128">
        <v>1</v>
      </c>
      <c r="B10" s="128">
        <v>2</v>
      </c>
      <c r="C10" s="129">
        <v>3</v>
      </c>
      <c r="D10" s="129">
        <v>4</v>
      </c>
      <c r="E10" s="129">
        <v>5</v>
      </c>
      <c r="F10" s="28"/>
      <c r="G10" s="28"/>
    </row>
    <row r="11" spans="1:10" ht="31" x14ac:dyDescent="0.35">
      <c r="A11" s="130" t="s">
        <v>86</v>
      </c>
      <c r="B11" s="131" t="s">
        <v>101</v>
      </c>
      <c r="C11" s="80">
        <f t="shared" ref="C11:E11" si="0">C12+C13+C14+C15+C16+C25</f>
        <v>170.8</v>
      </c>
      <c r="D11" s="80">
        <f t="shared" si="0"/>
        <v>85.7</v>
      </c>
      <c r="E11" s="80">
        <f t="shared" si="0"/>
        <v>121.7</v>
      </c>
      <c r="F11" s="28"/>
      <c r="G11" s="50"/>
      <c r="H11" s="50"/>
      <c r="I11" s="50"/>
      <c r="J11" s="51"/>
    </row>
    <row r="12" spans="1:10" ht="15.5" x14ac:dyDescent="0.35">
      <c r="A12" s="132" t="s">
        <v>102</v>
      </c>
      <c r="B12" s="133" t="s">
        <v>103</v>
      </c>
      <c r="C12" s="81">
        <v>1.1000000000000001</v>
      </c>
      <c r="D12" s="81">
        <v>0.4</v>
      </c>
      <c r="E12" s="81">
        <v>1.1000000000000001</v>
      </c>
      <c r="F12" s="28"/>
      <c r="G12" s="50"/>
      <c r="H12" s="50"/>
      <c r="I12" s="50"/>
      <c r="J12" s="52"/>
    </row>
    <row r="13" spans="1:10" ht="15.5" x14ac:dyDescent="0.35">
      <c r="A13" s="132" t="s">
        <v>104</v>
      </c>
      <c r="B13" s="133" t="s">
        <v>105</v>
      </c>
      <c r="C13" s="81">
        <v>0.5</v>
      </c>
      <c r="D13" s="81">
        <v>0.2</v>
      </c>
      <c r="E13" s="81">
        <v>0.4</v>
      </c>
      <c r="F13" s="28"/>
      <c r="G13" s="50"/>
      <c r="H13" s="50"/>
      <c r="I13" s="50"/>
      <c r="J13" s="52"/>
    </row>
    <row r="14" spans="1:10" ht="15.5" x14ac:dyDescent="0.35">
      <c r="A14" s="132" t="s">
        <v>106</v>
      </c>
      <c r="B14" s="133" t="s">
        <v>107</v>
      </c>
      <c r="C14" s="81">
        <v>116.8</v>
      </c>
      <c r="D14" s="81">
        <v>56.7</v>
      </c>
      <c r="E14" s="81">
        <v>85.3</v>
      </c>
      <c r="G14" s="50"/>
      <c r="H14" s="50"/>
      <c r="I14" s="50"/>
      <c r="J14" s="52"/>
    </row>
    <row r="15" spans="1:10" ht="15.5" x14ac:dyDescent="0.35">
      <c r="A15" s="132" t="s">
        <v>108</v>
      </c>
      <c r="B15" s="133" t="s">
        <v>109</v>
      </c>
      <c r="C15" s="81">
        <v>35.6</v>
      </c>
      <c r="D15" s="81">
        <v>18.899999999999999</v>
      </c>
      <c r="E15" s="81">
        <v>26</v>
      </c>
      <c r="F15" s="53"/>
      <c r="G15" s="50"/>
      <c r="H15" s="50"/>
      <c r="I15" s="50"/>
      <c r="J15" s="52"/>
    </row>
    <row r="16" spans="1:10" ht="15.5" x14ac:dyDescent="0.35">
      <c r="A16" s="132" t="s">
        <v>110</v>
      </c>
      <c r="B16" s="133" t="s">
        <v>111</v>
      </c>
      <c r="C16" s="81">
        <f t="shared" ref="C16:E16" si="1">C17+C18+C19</f>
        <v>14.3</v>
      </c>
      <c r="D16" s="81">
        <f t="shared" si="1"/>
        <v>9.3000000000000007</v>
      </c>
      <c r="E16" s="81">
        <f t="shared" si="1"/>
        <v>8.9</v>
      </c>
      <c r="F16" s="54"/>
      <c r="G16" s="50"/>
      <c r="H16" s="50"/>
      <c r="I16" s="50"/>
      <c r="J16" s="52"/>
    </row>
    <row r="17" spans="1:10" ht="15.5" x14ac:dyDescent="0.35">
      <c r="A17" s="132" t="s">
        <v>112</v>
      </c>
      <c r="B17" s="134" t="s">
        <v>113</v>
      </c>
      <c r="C17" s="81">
        <v>0</v>
      </c>
      <c r="D17" s="81">
        <v>0.2</v>
      </c>
      <c r="E17" s="81">
        <v>0.1</v>
      </c>
      <c r="F17" s="28"/>
      <c r="G17" s="50"/>
      <c r="H17" s="50"/>
      <c r="I17" s="50"/>
      <c r="J17" s="52"/>
    </row>
    <row r="18" spans="1:10" ht="46.5" x14ac:dyDescent="0.35">
      <c r="A18" s="132" t="s">
        <v>114</v>
      </c>
      <c r="B18" s="134" t="s">
        <v>115</v>
      </c>
      <c r="C18" s="81">
        <v>2.7</v>
      </c>
      <c r="D18" s="81">
        <v>1.2</v>
      </c>
      <c r="E18" s="81">
        <v>2.2000000000000002</v>
      </c>
      <c r="G18" s="50"/>
      <c r="H18" s="50"/>
      <c r="I18" s="50"/>
      <c r="J18" s="52"/>
    </row>
    <row r="19" spans="1:10" ht="26" customHeight="1" x14ac:dyDescent="0.35">
      <c r="A19" s="132" t="s">
        <v>116</v>
      </c>
      <c r="B19" s="134" t="s">
        <v>117</v>
      </c>
      <c r="C19" s="81">
        <f t="shared" ref="C19:E19" si="2">C20+C21+C22+C23+C24</f>
        <v>11.6</v>
      </c>
      <c r="D19" s="81">
        <f t="shared" si="2"/>
        <v>7.9</v>
      </c>
      <c r="E19" s="81">
        <f t="shared" si="2"/>
        <v>6.6</v>
      </c>
      <c r="G19" s="50"/>
      <c r="H19" s="50"/>
      <c r="I19" s="50"/>
      <c r="J19" s="52"/>
    </row>
    <row r="20" spans="1:10" ht="15.5" x14ac:dyDescent="0.35">
      <c r="A20" s="132" t="s">
        <v>118</v>
      </c>
      <c r="B20" s="133" t="s">
        <v>119</v>
      </c>
      <c r="C20" s="81">
        <v>0.3</v>
      </c>
      <c r="D20" s="81">
        <v>0.1</v>
      </c>
      <c r="E20" s="81">
        <v>0.2</v>
      </c>
      <c r="G20" s="50"/>
      <c r="H20" s="50"/>
      <c r="I20" s="50"/>
      <c r="J20" s="52"/>
    </row>
    <row r="21" spans="1:10" ht="15.5" x14ac:dyDescent="0.35">
      <c r="A21" s="132" t="s">
        <v>120</v>
      </c>
      <c r="B21" s="133" t="s">
        <v>121</v>
      </c>
      <c r="C21" s="81"/>
      <c r="D21" s="81"/>
      <c r="E21" s="81"/>
      <c r="G21" s="50"/>
      <c r="H21" s="50"/>
      <c r="I21" s="50"/>
      <c r="J21" s="52"/>
    </row>
    <row r="22" spans="1:10" ht="46.5" x14ac:dyDescent="0.35">
      <c r="A22" s="132" t="s">
        <v>122</v>
      </c>
      <c r="B22" s="133" t="s">
        <v>123</v>
      </c>
      <c r="C22" s="81">
        <v>0.2</v>
      </c>
      <c r="D22" s="81">
        <v>0.2</v>
      </c>
      <c r="E22" s="81">
        <v>0.2</v>
      </c>
      <c r="G22" s="50"/>
      <c r="H22" s="50"/>
      <c r="I22" s="50"/>
      <c r="J22" s="52"/>
    </row>
    <row r="23" spans="1:10" ht="15.5" x14ac:dyDescent="0.35">
      <c r="A23" s="132" t="s">
        <v>124</v>
      </c>
      <c r="B23" s="133" t="s">
        <v>125</v>
      </c>
      <c r="C23" s="81"/>
      <c r="D23" s="81"/>
      <c r="E23" s="81"/>
      <c r="G23" s="50"/>
      <c r="H23" s="50"/>
      <c r="I23" s="50"/>
      <c r="J23" s="52"/>
    </row>
    <row r="24" spans="1:10" ht="31" x14ac:dyDescent="0.35">
      <c r="A24" s="132" t="s">
        <v>126</v>
      </c>
      <c r="B24" s="133" t="s">
        <v>127</v>
      </c>
      <c r="C24" s="81">
        <v>11.1</v>
      </c>
      <c r="D24" s="81">
        <v>7.6</v>
      </c>
      <c r="E24" s="81">
        <v>6.2</v>
      </c>
      <c r="G24" s="50"/>
      <c r="H24" s="50"/>
      <c r="I24" s="50"/>
      <c r="J24" s="52"/>
    </row>
    <row r="25" spans="1:10" ht="15.5" x14ac:dyDescent="0.35">
      <c r="A25" s="132" t="s">
        <v>128</v>
      </c>
      <c r="B25" s="133" t="s">
        <v>129</v>
      </c>
      <c r="C25" s="81">
        <f t="shared" ref="C25:D25" si="3">SUM(C26:C29)</f>
        <v>2.5</v>
      </c>
      <c r="D25" s="81">
        <f t="shared" si="3"/>
        <v>0.2</v>
      </c>
      <c r="E25" s="81">
        <f t="shared" ref="E25" si="4">SUM(E26:E29)</f>
        <v>0</v>
      </c>
    </row>
    <row r="26" spans="1:10" ht="15.5" x14ac:dyDescent="0.35">
      <c r="A26" s="132" t="s">
        <v>130</v>
      </c>
      <c r="B26" s="134" t="s">
        <v>131</v>
      </c>
      <c r="C26" s="81"/>
      <c r="D26" s="81"/>
      <c r="E26" s="81"/>
      <c r="H26" s="55"/>
    </row>
    <row r="27" spans="1:10" ht="15.5" x14ac:dyDescent="0.35">
      <c r="A27" s="132" t="s">
        <v>132</v>
      </c>
      <c r="B27" s="134" t="s">
        <v>133</v>
      </c>
      <c r="C27" s="81"/>
      <c r="D27" s="81"/>
      <c r="E27" s="81"/>
    </row>
    <row r="28" spans="1:10" ht="15.5" x14ac:dyDescent="0.35">
      <c r="A28" s="132" t="s">
        <v>134</v>
      </c>
      <c r="B28" s="134" t="s">
        <v>135</v>
      </c>
      <c r="C28" s="81">
        <v>2.5</v>
      </c>
      <c r="D28" s="81">
        <v>0.2</v>
      </c>
      <c r="E28" s="81">
        <v>0</v>
      </c>
    </row>
    <row r="29" spans="1:10" ht="31.5" thickBot="1" x14ac:dyDescent="0.4">
      <c r="A29" s="135" t="s">
        <v>136</v>
      </c>
      <c r="B29" s="136" t="s">
        <v>137</v>
      </c>
      <c r="C29" s="137"/>
      <c r="D29" s="137"/>
      <c r="E29" s="137"/>
    </row>
    <row r="30" spans="1:10" x14ac:dyDescent="0.35">
      <c r="A30" s="34"/>
      <c r="B30" s="34"/>
      <c r="C30" s="34"/>
      <c r="D30" s="34"/>
      <c r="E30" s="35"/>
      <c r="F30" s="36"/>
      <c r="G30" s="36"/>
    </row>
    <row r="31" spans="1:10" x14ac:dyDescent="0.35">
      <c r="B31" s="56"/>
      <c r="C31" s="35"/>
      <c r="D31" s="39"/>
      <c r="E31" s="57"/>
      <c r="F31" s="36"/>
      <c r="G31" s="36"/>
    </row>
    <row r="36" spans="5:9" x14ac:dyDescent="0.35">
      <c r="G36" s="59"/>
      <c r="H36" s="36"/>
      <c r="I36" s="36"/>
    </row>
    <row r="37" spans="5:9" x14ac:dyDescent="0.35">
      <c r="G37" s="59"/>
      <c r="H37" s="36"/>
      <c r="I37" s="36"/>
    </row>
    <row r="38" spans="5:9" x14ac:dyDescent="0.35">
      <c r="G38" s="60"/>
      <c r="H38" s="36"/>
    </row>
    <row r="39" spans="5:9" x14ac:dyDescent="0.35">
      <c r="G39" s="52"/>
    </row>
    <row r="40" spans="5:9" x14ac:dyDescent="0.35">
      <c r="E40" s="61"/>
      <c r="G40" s="62"/>
    </row>
    <row r="41" spans="5:9" x14ac:dyDescent="0.35">
      <c r="F41" s="63"/>
    </row>
    <row r="44" spans="5:9" x14ac:dyDescent="0.35">
      <c r="E44" s="61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44"/>
  <sheetViews>
    <sheetView zoomScale="75" zoomScaleNormal="75" workbookViewId="0">
      <selection activeCell="E14" sqref="E14"/>
    </sheetView>
  </sheetViews>
  <sheetFormatPr defaultColWidth="9.1796875" defaultRowHeight="14" x14ac:dyDescent="0.35"/>
  <cols>
    <col min="1" max="1" width="6.7265625" style="25" customWidth="1"/>
    <col min="2" max="2" width="46.7265625" style="25" customWidth="1"/>
    <col min="3" max="5" width="12.36328125" style="25" customWidth="1"/>
    <col min="6" max="6" width="14.7265625" style="25" customWidth="1"/>
    <col min="7" max="7" width="6.7265625" style="25" customWidth="1"/>
    <col min="8" max="8" width="5.90625" style="25" customWidth="1"/>
    <col min="9" max="9" width="6.26953125" style="25" customWidth="1"/>
    <col min="10" max="10" width="9.1796875" style="25"/>
    <col min="11" max="11" width="10.26953125" style="25" bestFit="1" customWidth="1"/>
    <col min="12" max="12" width="6.453125" style="25" customWidth="1"/>
    <col min="13" max="13" width="14.7265625" style="25" customWidth="1"/>
    <col min="14" max="14" width="6.90625" style="25" customWidth="1"/>
    <col min="15" max="16384" width="9.1796875" style="25"/>
  </cols>
  <sheetData>
    <row r="1" spans="1:15" ht="15.5" x14ac:dyDescent="0.35">
      <c r="A1" s="124"/>
      <c r="B1" s="124"/>
      <c r="C1" s="124"/>
      <c r="D1" s="124"/>
      <c r="E1" s="125" t="s">
        <v>96</v>
      </c>
    </row>
    <row r="2" spans="1:15" ht="63" customHeight="1" x14ac:dyDescent="0.35">
      <c r="A2" s="124"/>
      <c r="B2" s="124"/>
      <c r="C2" s="160" t="s">
        <v>58</v>
      </c>
      <c r="D2" s="160"/>
      <c r="E2" s="160"/>
    </row>
    <row r="3" spans="1:15" ht="15.5" x14ac:dyDescent="0.35">
      <c r="A3" s="126"/>
      <c r="B3" s="126"/>
      <c r="C3" s="124"/>
      <c r="D3" s="124"/>
      <c r="E3" s="124"/>
    </row>
    <row r="4" spans="1:15" ht="15.5" x14ac:dyDescent="0.35">
      <c r="A4" s="156" t="s">
        <v>97</v>
      </c>
      <c r="B4" s="156"/>
      <c r="C4" s="156"/>
      <c r="D4" s="156"/>
      <c r="E4" s="156"/>
    </row>
    <row r="5" spans="1:15" ht="45" customHeight="1" x14ac:dyDescent="0.35">
      <c r="A5" s="150" t="s">
        <v>164</v>
      </c>
      <c r="B5" s="150"/>
      <c r="C5" s="150"/>
      <c r="D5" s="150"/>
      <c r="E5" s="150"/>
    </row>
    <row r="6" spans="1:15" ht="41.5" customHeight="1" x14ac:dyDescent="0.35">
      <c r="A6" s="151" t="s">
        <v>171</v>
      </c>
      <c r="B6" s="151"/>
      <c r="C6" s="151"/>
      <c r="D6" s="151"/>
      <c r="E6" s="151"/>
    </row>
    <row r="7" spans="1:15" ht="16" thickBot="1" x14ac:dyDescent="0.4">
      <c r="A7" s="126"/>
      <c r="B7" s="126"/>
      <c r="C7" s="126"/>
      <c r="D7" s="126"/>
      <c r="E7" s="127" t="s">
        <v>98</v>
      </c>
    </row>
    <row r="8" spans="1:15" ht="14" customHeight="1" x14ac:dyDescent="0.35">
      <c r="A8" s="157" t="s">
        <v>80</v>
      </c>
      <c r="B8" s="157" t="s">
        <v>99</v>
      </c>
      <c r="C8" s="157" t="s">
        <v>166</v>
      </c>
      <c r="D8" s="157" t="s">
        <v>145</v>
      </c>
      <c r="E8" s="157" t="s">
        <v>100</v>
      </c>
    </row>
    <row r="9" spans="1:15" ht="14.5" thickBot="1" x14ac:dyDescent="0.4">
      <c r="A9" s="158"/>
      <c r="B9" s="158"/>
      <c r="C9" s="158"/>
      <c r="D9" s="158"/>
      <c r="E9" s="159"/>
      <c r="G9" s="48"/>
      <c r="H9" s="48"/>
      <c r="I9" s="48"/>
      <c r="J9" s="49"/>
      <c r="K9" s="64"/>
    </row>
    <row r="10" spans="1:15" ht="16" thickBot="1" x14ac:dyDescent="0.4">
      <c r="A10" s="128">
        <v>1</v>
      </c>
      <c r="B10" s="128">
        <v>2</v>
      </c>
      <c r="C10" s="129">
        <v>3</v>
      </c>
      <c r="D10" s="129">
        <v>4</v>
      </c>
      <c r="E10" s="129">
        <v>5</v>
      </c>
      <c r="F10" s="28"/>
      <c r="G10" s="28"/>
      <c r="O10" s="65"/>
    </row>
    <row r="11" spans="1:15" ht="31" x14ac:dyDescent="0.35">
      <c r="A11" s="130" t="s">
        <v>86</v>
      </c>
      <c r="B11" s="131" t="s">
        <v>101</v>
      </c>
      <c r="C11" s="80">
        <f t="shared" ref="C11:E11" si="0">C12+C13+C14+C15+C16+C25</f>
        <v>0</v>
      </c>
      <c r="D11" s="80">
        <f t="shared" si="0"/>
        <v>90.4</v>
      </c>
      <c r="E11" s="80">
        <f t="shared" si="0"/>
        <v>147.69999999999999</v>
      </c>
      <c r="F11" s="28"/>
      <c r="G11" s="50"/>
      <c r="H11" s="50"/>
      <c r="I11" s="50"/>
      <c r="J11" s="51"/>
      <c r="K11" s="52"/>
      <c r="L11" s="52"/>
    </row>
    <row r="12" spans="1:15" ht="15.5" x14ac:dyDescent="0.35">
      <c r="A12" s="132" t="s">
        <v>102</v>
      </c>
      <c r="B12" s="133" t="s">
        <v>103</v>
      </c>
      <c r="C12" s="81"/>
      <c r="D12" s="81">
        <v>0.4</v>
      </c>
      <c r="E12" s="81">
        <v>1.3</v>
      </c>
      <c r="F12" s="28"/>
      <c r="G12" s="50"/>
      <c r="H12" s="50"/>
      <c r="I12" s="50"/>
      <c r="J12" s="52"/>
      <c r="K12" s="52"/>
      <c r="N12" s="52"/>
    </row>
    <row r="13" spans="1:15" ht="15.5" x14ac:dyDescent="0.35">
      <c r="A13" s="132" t="s">
        <v>104</v>
      </c>
      <c r="B13" s="133" t="s">
        <v>105</v>
      </c>
      <c r="C13" s="81"/>
      <c r="D13" s="81">
        <v>0.2</v>
      </c>
      <c r="E13" s="81">
        <v>0.3</v>
      </c>
      <c r="F13" s="28"/>
      <c r="G13" s="50"/>
      <c r="H13" s="50"/>
      <c r="I13" s="50"/>
      <c r="J13" s="52"/>
      <c r="K13" s="52"/>
      <c r="N13" s="52"/>
    </row>
    <row r="14" spans="1:15" ht="15.5" x14ac:dyDescent="0.35">
      <c r="A14" s="132" t="s">
        <v>106</v>
      </c>
      <c r="B14" s="133" t="s">
        <v>107</v>
      </c>
      <c r="C14" s="81"/>
      <c r="D14" s="81">
        <v>60</v>
      </c>
      <c r="E14" s="81">
        <v>104.7</v>
      </c>
      <c r="G14" s="50"/>
      <c r="H14" s="50"/>
      <c r="I14" s="50"/>
      <c r="J14" s="52"/>
      <c r="K14" s="52"/>
      <c r="N14" s="52"/>
    </row>
    <row r="15" spans="1:15" ht="15.5" x14ac:dyDescent="0.35">
      <c r="A15" s="132" t="s">
        <v>108</v>
      </c>
      <c r="B15" s="133" t="s">
        <v>109</v>
      </c>
      <c r="C15" s="81"/>
      <c r="D15" s="81">
        <v>20.399999999999999</v>
      </c>
      <c r="E15" s="81">
        <v>32</v>
      </c>
      <c r="F15" s="53"/>
      <c r="G15" s="50"/>
      <c r="H15" s="50"/>
      <c r="I15" s="50"/>
      <c r="J15" s="52"/>
      <c r="K15" s="52"/>
      <c r="N15" s="52"/>
    </row>
    <row r="16" spans="1:15" ht="15.5" x14ac:dyDescent="0.35">
      <c r="A16" s="132" t="s">
        <v>110</v>
      </c>
      <c r="B16" s="133" t="s">
        <v>111</v>
      </c>
      <c r="C16" s="81">
        <f t="shared" ref="C16:E16" si="1">C17+C18+C19</f>
        <v>0</v>
      </c>
      <c r="D16" s="81">
        <f t="shared" si="1"/>
        <v>9.1999999999999993</v>
      </c>
      <c r="E16" s="81">
        <f t="shared" si="1"/>
        <v>9.4</v>
      </c>
      <c r="F16" s="54"/>
      <c r="G16" s="50"/>
      <c r="H16" s="50"/>
      <c r="I16" s="50"/>
      <c r="J16" s="52"/>
      <c r="K16" s="52"/>
      <c r="N16" s="52"/>
    </row>
    <row r="17" spans="1:14" ht="15.5" x14ac:dyDescent="0.35">
      <c r="A17" s="132" t="s">
        <v>112</v>
      </c>
      <c r="B17" s="134" t="s">
        <v>113</v>
      </c>
      <c r="C17" s="81"/>
      <c r="D17" s="81">
        <v>0.2</v>
      </c>
      <c r="E17" s="81">
        <v>0</v>
      </c>
      <c r="F17" s="28"/>
      <c r="G17" s="50"/>
      <c r="H17" s="50"/>
      <c r="I17" s="50"/>
      <c r="J17" s="52"/>
      <c r="K17" s="52"/>
      <c r="N17" s="52"/>
    </row>
    <row r="18" spans="1:14" ht="46.5" x14ac:dyDescent="0.35">
      <c r="A18" s="132" t="s">
        <v>114</v>
      </c>
      <c r="B18" s="134" t="s">
        <v>115</v>
      </c>
      <c r="C18" s="81"/>
      <c r="D18" s="81">
        <v>1.2</v>
      </c>
      <c r="E18" s="81">
        <v>2.1</v>
      </c>
      <c r="G18" s="50"/>
      <c r="H18" s="50"/>
      <c r="I18" s="50"/>
      <c r="J18" s="52"/>
      <c r="K18" s="52"/>
      <c r="N18" s="52"/>
    </row>
    <row r="19" spans="1:14" ht="31" x14ac:dyDescent="0.35">
      <c r="A19" s="132" t="s">
        <v>116</v>
      </c>
      <c r="B19" s="134" t="s">
        <v>117</v>
      </c>
      <c r="C19" s="81">
        <f t="shared" ref="C19:E19" si="2">C20+C21+C22+C23+C24</f>
        <v>0</v>
      </c>
      <c r="D19" s="81">
        <f t="shared" si="2"/>
        <v>7.8</v>
      </c>
      <c r="E19" s="81">
        <f t="shared" si="2"/>
        <v>7.3</v>
      </c>
      <c r="G19" s="50"/>
      <c r="H19" s="50"/>
      <c r="I19" s="50"/>
      <c r="J19" s="52"/>
      <c r="K19" s="52"/>
      <c r="N19" s="52"/>
    </row>
    <row r="20" spans="1:14" ht="15.5" x14ac:dyDescent="0.35">
      <c r="A20" s="132" t="s">
        <v>118</v>
      </c>
      <c r="B20" s="133" t="s">
        <v>119</v>
      </c>
      <c r="C20" s="81"/>
      <c r="D20" s="81">
        <v>0.1</v>
      </c>
      <c r="E20" s="81">
        <v>0.2</v>
      </c>
      <c r="G20" s="50"/>
      <c r="H20" s="50"/>
      <c r="I20" s="50"/>
      <c r="J20" s="52"/>
      <c r="K20" s="52"/>
      <c r="N20" s="52"/>
    </row>
    <row r="21" spans="1:14" ht="15.5" x14ac:dyDescent="0.35">
      <c r="A21" s="132" t="s">
        <v>120</v>
      </c>
      <c r="B21" s="133" t="s">
        <v>121</v>
      </c>
      <c r="C21" s="81"/>
      <c r="D21" s="81"/>
      <c r="E21" s="81"/>
      <c r="G21" s="50"/>
      <c r="H21" s="50"/>
      <c r="I21" s="50"/>
      <c r="J21" s="52"/>
      <c r="K21" s="52"/>
      <c r="N21" s="52"/>
    </row>
    <row r="22" spans="1:14" ht="46.5" x14ac:dyDescent="0.35">
      <c r="A22" s="132" t="s">
        <v>122</v>
      </c>
      <c r="B22" s="133" t="s">
        <v>123</v>
      </c>
      <c r="C22" s="81"/>
      <c r="D22" s="81">
        <v>0.2</v>
      </c>
      <c r="E22" s="81">
        <v>0.2</v>
      </c>
      <c r="G22" s="50"/>
      <c r="H22" s="50"/>
      <c r="I22" s="50"/>
      <c r="J22" s="52"/>
      <c r="K22" s="52"/>
      <c r="N22" s="52"/>
    </row>
    <row r="23" spans="1:14" ht="15.5" x14ac:dyDescent="0.35">
      <c r="A23" s="132" t="s">
        <v>124</v>
      </c>
      <c r="B23" s="133" t="s">
        <v>125</v>
      </c>
      <c r="C23" s="81"/>
      <c r="D23" s="81"/>
      <c r="E23" s="81"/>
      <c r="G23" s="50"/>
      <c r="H23" s="50"/>
      <c r="I23" s="50"/>
      <c r="J23" s="52"/>
      <c r="K23" s="52"/>
      <c r="M23" s="66"/>
      <c r="N23" s="52"/>
    </row>
    <row r="24" spans="1:14" ht="31" x14ac:dyDescent="0.35">
      <c r="A24" s="132" t="s">
        <v>126</v>
      </c>
      <c r="B24" s="133" t="s">
        <v>127</v>
      </c>
      <c r="C24" s="81"/>
      <c r="D24" s="81">
        <v>7.5</v>
      </c>
      <c r="E24" s="81">
        <v>6.9</v>
      </c>
      <c r="G24" s="50"/>
      <c r="H24" s="50"/>
      <c r="I24" s="50"/>
      <c r="J24" s="52"/>
      <c r="K24" s="52"/>
      <c r="N24" s="52"/>
    </row>
    <row r="25" spans="1:14" ht="15.5" x14ac:dyDescent="0.35">
      <c r="A25" s="132" t="s">
        <v>128</v>
      </c>
      <c r="B25" s="133" t="s">
        <v>129</v>
      </c>
      <c r="C25" s="81">
        <f t="shared" ref="C25:E25" si="3">SUM(C26:C29)</f>
        <v>0</v>
      </c>
      <c r="D25" s="81">
        <f t="shared" si="3"/>
        <v>0.2</v>
      </c>
      <c r="E25" s="81">
        <f t="shared" si="3"/>
        <v>0</v>
      </c>
    </row>
    <row r="26" spans="1:14" ht="15.5" x14ac:dyDescent="0.35">
      <c r="A26" s="132" t="s">
        <v>130</v>
      </c>
      <c r="B26" s="134" t="s">
        <v>131</v>
      </c>
      <c r="C26" s="81"/>
      <c r="D26" s="81"/>
      <c r="E26" s="81"/>
      <c r="H26" s="55"/>
    </row>
    <row r="27" spans="1:14" ht="15.5" x14ac:dyDescent="0.35">
      <c r="A27" s="132" t="s">
        <v>132</v>
      </c>
      <c r="B27" s="134" t="s">
        <v>133</v>
      </c>
      <c r="C27" s="81"/>
      <c r="D27" s="81"/>
      <c r="E27" s="81"/>
    </row>
    <row r="28" spans="1:14" ht="15.5" x14ac:dyDescent="0.35">
      <c r="A28" s="132" t="s">
        <v>134</v>
      </c>
      <c r="B28" s="134" t="s">
        <v>135</v>
      </c>
      <c r="C28" s="81"/>
      <c r="D28" s="81">
        <v>0.2</v>
      </c>
      <c r="E28" s="81">
        <v>0</v>
      </c>
    </row>
    <row r="29" spans="1:14" ht="31.5" thickBot="1" x14ac:dyDescent="0.4">
      <c r="A29" s="135" t="s">
        <v>136</v>
      </c>
      <c r="B29" s="136" t="s">
        <v>137</v>
      </c>
      <c r="C29" s="137"/>
      <c r="D29" s="137"/>
      <c r="E29" s="137"/>
    </row>
    <row r="30" spans="1:14" x14ac:dyDescent="0.35">
      <c r="A30" s="34"/>
      <c r="B30" s="34"/>
      <c r="C30" s="34"/>
      <c r="D30" s="34"/>
      <c r="E30" s="35"/>
      <c r="F30" s="36"/>
      <c r="G30" s="36"/>
    </row>
    <row r="31" spans="1:14" x14ac:dyDescent="0.35">
      <c r="B31" s="56"/>
      <c r="C31" s="35"/>
      <c r="D31" s="39"/>
      <c r="E31" s="57"/>
      <c r="F31" s="36"/>
      <c r="G31" s="36"/>
    </row>
    <row r="36" spans="5:9" x14ac:dyDescent="0.35">
      <c r="G36" s="59"/>
      <c r="H36" s="36"/>
      <c r="I36" s="36"/>
    </row>
    <row r="37" spans="5:9" x14ac:dyDescent="0.35">
      <c r="G37" s="59"/>
      <c r="H37" s="36"/>
      <c r="I37" s="36"/>
    </row>
    <row r="38" spans="5:9" x14ac:dyDescent="0.35">
      <c r="G38" s="60"/>
      <c r="H38" s="36"/>
    </row>
    <row r="39" spans="5:9" x14ac:dyDescent="0.35">
      <c r="G39" s="52"/>
    </row>
    <row r="40" spans="5:9" x14ac:dyDescent="0.35">
      <c r="E40" s="61"/>
      <c r="G40" s="62"/>
    </row>
    <row r="41" spans="5:9" x14ac:dyDescent="0.35">
      <c r="F41" s="63"/>
    </row>
    <row r="44" spans="5:9" x14ac:dyDescent="0.35">
      <c r="E44" s="61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44"/>
  <sheetViews>
    <sheetView zoomScale="75" zoomScaleNormal="75" workbookViewId="0">
      <selection activeCell="G6" sqref="G6"/>
    </sheetView>
  </sheetViews>
  <sheetFormatPr defaultColWidth="9.1796875" defaultRowHeight="14" x14ac:dyDescent="0.35"/>
  <cols>
    <col min="1" max="1" width="6.7265625" style="25" customWidth="1"/>
    <col min="2" max="2" width="46.7265625" style="25" customWidth="1"/>
    <col min="3" max="5" width="12.36328125" style="25" customWidth="1"/>
    <col min="6" max="6" width="14.7265625" style="25" customWidth="1"/>
    <col min="7" max="7" width="6.7265625" style="25" customWidth="1"/>
    <col min="8" max="8" width="5.90625" style="25" customWidth="1"/>
    <col min="9" max="9" width="6.26953125" style="25" customWidth="1"/>
    <col min="10" max="10" width="9.1796875" style="25"/>
    <col min="11" max="11" width="10.26953125" style="25" bestFit="1" customWidth="1"/>
    <col min="12" max="12" width="6.453125" style="25" customWidth="1"/>
    <col min="13" max="13" width="14.7265625" style="25" customWidth="1"/>
    <col min="14" max="14" width="6.90625" style="25" customWidth="1"/>
    <col min="15" max="16384" width="9.1796875" style="25"/>
  </cols>
  <sheetData>
    <row r="1" spans="1:15" ht="15.5" x14ac:dyDescent="0.35">
      <c r="A1" s="124"/>
      <c r="B1" s="124"/>
      <c r="C1" s="124"/>
      <c r="D1" s="124"/>
      <c r="E1" s="125" t="s">
        <v>96</v>
      </c>
    </row>
    <row r="2" spans="1:15" ht="63" customHeight="1" x14ac:dyDescent="0.35">
      <c r="A2" s="124"/>
      <c r="B2" s="124"/>
      <c r="C2" s="160" t="s">
        <v>58</v>
      </c>
      <c r="D2" s="160"/>
      <c r="E2" s="160"/>
    </row>
    <row r="3" spans="1:15" ht="15.5" x14ac:dyDescent="0.35">
      <c r="A3" s="126"/>
      <c r="B3" s="126"/>
      <c r="C3" s="124"/>
      <c r="D3" s="124"/>
      <c r="E3" s="124"/>
    </row>
    <row r="4" spans="1:15" ht="15.5" x14ac:dyDescent="0.35">
      <c r="A4" s="156" t="s">
        <v>97</v>
      </c>
      <c r="B4" s="156"/>
      <c r="C4" s="156"/>
      <c r="D4" s="156"/>
      <c r="E4" s="156"/>
    </row>
    <row r="5" spans="1:15" ht="45" customHeight="1" x14ac:dyDescent="0.35">
      <c r="A5" s="150" t="s">
        <v>164</v>
      </c>
      <c r="B5" s="150"/>
      <c r="C5" s="150"/>
      <c r="D5" s="150"/>
      <c r="E5" s="150"/>
    </row>
    <row r="6" spans="1:15" ht="81" customHeight="1" x14ac:dyDescent="0.35">
      <c r="A6" s="151" t="s">
        <v>172</v>
      </c>
      <c r="B6" s="151"/>
      <c r="C6" s="151"/>
      <c r="D6" s="151"/>
      <c r="E6" s="151"/>
    </row>
    <row r="7" spans="1:15" ht="16" thickBot="1" x14ac:dyDescent="0.4">
      <c r="A7" s="126"/>
      <c r="B7" s="126"/>
      <c r="C7" s="126"/>
      <c r="D7" s="126"/>
      <c r="E7" s="127" t="s">
        <v>98</v>
      </c>
    </row>
    <row r="8" spans="1:15" ht="14" customHeight="1" x14ac:dyDescent="0.35">
      <c r="A8" s="157" t="s">
        <v>80</v>
      </c>
      <c r="B8" s="157" t="s">
        <v>99</v>
      </c>
      <c r="C8" s="157" t="s">
        <v>166</v>
      </c>
      <c r="D8" s="157" t="s">
        <v>145</v>
      </c>
      <c r="E8" s="157" t="s">
        <v>100</v>
      </c>
    </row>
    <row r="9" spans="1:15" ht="14.5" customHeight="1" thickBot="1" x14ac:dyDescent="0.4">
      <c r="A9" s="158"/>
      <c r="B9" s="158"/>
      <c r="C9" s="158"/>
      <c r="D9" s="158"/>
      <c r="E9" s="159"/>
      <c r="G9" s="48"/>
      <c r="H9" s="48"/>
      <c r="I9" s="48"/>
      <c r="J9" s="49"/>
      <c r="K9" s="64"/>
    </row>
    <row r="10" spans="1:15" ht="16" thickBot="1" x14ac:dyDescent="0.4">
      <c r="A10" s="128">
        <v>1</v>
      </c>
      <c r="B10" s="128">
        <v>2</v>
      </c>
      <c r="C10" s="129">
        <v>3</v>
      </c>
      <c r="D10" s="129">
        <v>4</v>
      </c>
      <c r="E10" s="129">
        <v>5</v>
      </c>
      <c r="F10" s="28"/>
      <c r="G10" s="28"/>
      <c r="O10" s="65"/>
    </row>
    <row r="11" spans="1:15" ht="31" x14ac:dyDescent="0.35">
      <c r="A11" s="130" t="s">
        <v>86</v>
      </c>
      <c r="B11" s="131" t="s">
        <v>101</v>
      </c>
      <c r="C11" s="80">
        <f t="shared" ref="C11:E11" si="0">C12+C13+C14+C15+C16+C25</f>
        <v>86.7</v>
      </c>
      <c r="D11" s="80">
        <f t="shared" si="0"/>
        <v>0</v>
      </c>
      <c r="E11" s="80">
        <f t="shared" si="0"/>
        <v>0</v>
      </c>
      <c r="F11" s="28"/>
      <c r="G11" s="50"/>
      <c r="H11" s="50"/>
      <c r="I11" s="50"/>
      <c r="J11" s="51"/>
      <c r="K11" s="52"/>
      <c r="L11" s="52"/>
    </row>
    <row r="12" spans="1:15" ht="15.5" x14ac:dyDescent="0.35">
      <c r="A12" s="132" t="s">
        <v>102</v>
      </c>
      <c r="B12" s="133" t="s">
        <v>103</v>
      </c>
      <c r="C12" s="81">
        <v>0.5</v>
      </c>
      <c r="D12" s="81"/>
      <c r="E12" s="81"/>
      <c r="F12" s="28"/>
      <c r="G12" s="50"/>
      <c r="H12" s="50"/>
      <c r="I12" s="50"/>
      <c r="J12" s="52"/>
      <c r="K12" s="52"/>
      <c r="N12" s="52"/>
    </row>
    <row r="13" spans="1:15" ht="15.5" x14ac:dyDescent="0.35">
      <c r="A13" s="132" t="s">
        <v>104</v>
      </c>
      <c r="B13" s="133" t="s">
        <v>105</v>
      </c>
      <c r="C13" s="81">
        <v>0.3</v>
      </c>
      <c r="D13" s="81"/>
      <c r="E13" s="81"/>
      <c r="F13" s="28"/>
      <c r="G13" s="50"/>
      <c r="H13" s="50"/>
      <c r="I13" s="50"/>
      <c r="J13" s="52"/>
      <c r="K13" s="52"/>
      <c r="N13" s="52"/>
    </row>
    <row r="14" spans="1:15" ht="15.5" x14ac:dyDescent="0.35">
      <c r="A14" s="132" t="s">
        <v>106</v>
      </c>
      <c r="B14" s="133" t="s">
        <v>107</v>
      </c>
      <c r="C14" s="81">
        <v>59.2</v>
      </c>
      <c r="D14" s="81"/>
      <c r="E14" s="81"/>
      <c r="G14" s="50"/>
      <c r="H14" s="50"/>
      <c r="I14" s="50"/>
      <c r="J14" s="52"/>
      <c r="K14" s="52"/>
      <c r="N14" s="52"/>
    </row>
    <row r="15" spans="1:15" ht="15.5" x14ac:dyDescent="0.35">
      <c r="A15" s="132" t="s">
        <v>108</v>
      </c>
      <c r="B15" s="133" t="s">
        <v>109</v>
      </c>
      <c r="C15" s="81">
        <v>18.100000000000001</v>
      </c>
      <c r="D15" s="81"/>
      <c r="E15" s="81"/>
      <c r="F15" s="53"/>
      <c r="G15" s="50"/>
      <c r="H15" s="50"/>
      <c r="I15" s="50"/>
      <c r="J15" s="52"/>
      <c r="K15" s="52"/>
      <c r="N15" s="52"/>
    </row>
    <row r="16" spans="1:15" ht="15.5" x14ac:dyDescent="0.35">
      <c r="A16" s="132" t="s">
        <v>110</v>
      </c>
      <c r="B16" s="133" t="s">
        <v>111</v>
      </c>
      <c r="C16" s="81">
        <f t="shared" ref="C16:E16" si="1">C17+C18+C19</f>
        <v>7.3</v>
      </c>
      <c r="D16" s="81">
        <f t="shared" si="1"/>
        <v>0</v>
      </c>
      <c r="E16" s="81">
        <f t="shared" si="1"/>
        <v>0</v>
      </c>
      <c r="F16" s="54"/>
      <c r="G16" s="50"/>
      <c r="H16" s="50"/>
      <c r="I16" s="50"/>
      <c r="J16" s="52"/>
      <c r="K16" s="52"/>
      <c r="N16" s="52"/>
    </row>
    <row r="17" spans="1:14" ht="31" x14ac:dyDescent="0.35">
      <c r="A17" s="132" t="s">
        <v>112</v>
      </c>
      <c r="B17" s="134" t="s">
        <v>113</v>
      </c>
      <c r="C17" s="81">
        <v>0</v>
      </c>
      <c r="D17" s="81"/>
      <c r="E17" s="81"/>
      <c r="F17" s="28"/>
      <c r="G17" s="50"/>
      <c r="H17" s="50"/>
      <c r="I17" s="50"/>
      <c r="J17" s="52"/>
      <c r="K17" s="52"/>
      <c r="N17" s="52"/>
    </row>
    <row r="18" spans="1:14" ht="46.5" x14ac:dyDescent="0.35">
      <c r="A18" s="132" t="s">
        <v>114</v>
      </c>
      <c r="B18" s="134" t="s">
        <v>115</v>
      </c>
      <c r="C18" s="81">
        <v>1.4</v>
      </c>
      <c r="D18" s="81"/>
      <c r="E18" s="81"/>
      <c r="G18" s="50"/>
      <c r="H18" s="50"/>
      <c r="I18" s="50"/>
      <c r="J18" s="52"/>
      <c r="K18" s="52"/>
      <c r="N18" s="52"/>
    </row>
    <row r="19" spans="1:14" ht="31" x14ac:dyDescent="0.35">
      <c r="A19" s="132" t="s">
        <v>116</v>
      </c>
      <c r="B19" s="134" t="s">
        <v>117</v>
      </c>
      <c r="C19" s="81">
        <f t="shared" ref="C19:E19" si="2">C20+C21+C22+C23+C24</f>
        <v>5.9</v>
      </c>
      <c r="D19" s="81">
        <f t="shared" si="2"/>
        <v>0</v>
      </c>
      <c r="E19" s="81">
        <f t="shared" si="2"/>
        <v>0</v>
      </c>
      <c r="G19" s="50"/>
      <c r="H19" s="50"/>
      <c r="I19" s="50"/>
      <c r="J19" s="52"/>
      <c r="K19" s="52"/>
      <c r="N19" s="52"/>
    </row>
    <row r="20" spans="1:14" ht="15.5" x14ac:dyDescent="0.35">
      <c r="A20" s="132" t="s">
        <v>118</v>
      </c>
      <c r="B20" s="133" t="s">
        <v>119</v>
      </c>
      <c r="C20" s="81">
        <v>0.2</v>
      </c>
      <c r="D20" s="81"/>
      <c r="E20" s="81"/>
      <c r="G20" s="50"/>
      <c r="H20" s="50"/>
      <c r="I20" s="50"/>
      <c r="J20" s="52"/>
      <c r="K20" s="52"/>
      <c r="N20" s="52"/>
    </row>
    <row r="21" spans="1:14" ht="15.5" x14ac:dyDescent="0.35">
      <c r="A21" s="132" t="s">
        <v>120</v>
      </c>
      <c r="B21" s="133" t="s">
        <v>121</v>
      </c>
      <c r="C21" s="81"/>
      <c r="D21" s="81"/>
      <c r="E21" s="81"/>
      <c r="G21" s="50"/>
      <c r="H21" s="50"/>
      <c r="I21" s="50"/>
      <c r="J21" s="52"/>
      <c r="K21" s="52"/>
      <c r="N21" s="52"/>
    </row>
    <row r="22" spans="1:14" ht="46.5" x14ac:dyDescent="0.35">
      <c r="A22" s="132" t="s">
        <v>122</v>
      </c>
      <c r="B22" s="133" t="s">
        <v>123</v>
      </c>
      <c r="C22" s="81">
        <v>0.1</v>
      </c>
      <c r="D22" s="81"/>
      <c r="E22" s="81"/>
      <c r="G22" s="50"/>
      <c r="H22" s="50"/>
      <c r="I22" s="50"/>
      <c r="J22" s="52"/>
      <c r="K22" s="52"/>
      <c r="N22" s="52"/>
    </row>
    <row r="23" spans="1:14" ht="15.5" x14ac:dyDescent="0.35">
      <c r="A23" s="132" t="s">
        <v>124</v>
      </c>
      <c r="B23" s="133" t="s">
        <v>125</v>
      </c>
      <c r="C23" s="81"/>
      <c r="D23" s="81"/>
      <c r="E23" s="81"/>
      <c r="G23" s="50"/>
      <c r="H23" s="50"/>
      <c r="I23" s="50"/>
      <c r="J23" s="52"/>
      <c r="K23" s="52"/>
      <c r="M23" s="66"/>
      <c r="N23" s="52"/>
    </row>
    <row r="24" spans="1:14" ht="31" x14ac:dyDescent="0.35">
      <c r="A24" s="132" t="s">
        <v>126</v>
      </c>
      <c r="B24" s="133" t="s">
        <v>127</v>
      </c>
      <c r="C24" s="81">
        <v>5.6</v>
      </c>
      <c r="D24" s="81"/>
      <c r="E24" s="81"/>
      <c r="G24" s="50"/>
      <c r="H24" s="50"/>
      <c r="I24" s="50"/>
      <c r="J24" s="52"/>
      <c r="K24" s="52"/>
      <c r="N24" s="52"/>
    </row>
    <row r="25" spans="1:14" ht="15.5" x14ac:dyDescent="0.35">
      <c r="A25" s="132" t="s">
        <v>128</v>
      </c>
      <c r="B25" s="133" t="s">
        <v>129</v>
      </c>
      <c r="C25" s="81">
        <f t="shared" ref="C25" si="3">SUM(C26:C29)</f>
        <v>1.3</v>
      </c>
      <c r="D25" s="81">
        <f t="shared" ref="D25:E25" si="4">SUM(D26:D29)</f>
        <v>0</v>
      </c>
      <c r="E25" s="81">
        <f t="shared" si="4"/>
        <v>0</v>
      </c>
    </row>
    <row r="26" spans="1:14" ht="15.5" x14ac:dyDescent="0.35">
      <c r="A26" s="132" t="s">
        <v>130</v>
      </c>
      <c r="B26" s="134" t="s">
        <v>131</v>
      </c>
      <c r="C26" s="81"/>
      <c r="D26" s="81"/>
      <c r="E26" s="81"/>
      <c r="H26" s="55"/>
    </row>
    <row r="27" spans="1:14" ht="15.5" x14ac:dyDescent="0.35">
      <c r="A27" s="132" t="s">
        <v>132</v>
      </c>
      <c r="B27" s="134" t="s">
        <v>133</v>
      </c>
      <c r="C27" s="81"/>
      <c r="D27" s="81"/>
      <c r="E27" s="81"/>
    </row>
    <row r="28" spans="1:14" ht="15.5" x14ac:dyDescent="0.35">
      <c r="A28" s="132" t="s">
        <v>134</v>
      </c>
      <c r="B28" s="134" t="s">
        <v>135</v>
      </c>
      <c r="C28" s="81">
        <v>1.3</v>
      </c>
      <c r="D28" s="81"/>
      <c r="E28" s="81"/>
    </row>
    <row r="29" spans="1:14" ht="31.5" thickBot="1" x14ac:dyDescent="0.4">
      <c r="A29" s="135" t="s">
        <v>136</v>
      </c>
      <c r="B29" s="136" t="s">
        <v>137</v>
      </c>
      <c r="C29" s="137"/>
      <c r="D29" s="137"/>
      <c r="E29" s="137"/>
    </row>
    <row r="30" spans="1:14" x14ac:dyDescent="0.35">
      <c r="A30" s="34"/>
      <c r="B30" s="34"/>
      <c r="C30" s="34"/>
      <c r="D30" s="34"/>
      <c r="E30" s="35"/>
      <c r="F30" s="36"/>
      <c r="G30" s="36"/>
    </row>
    <row r="31" spans="1:14" x14ac:dyDescent="0.35">
      <c r="B31" s="56"/>
      <c r="C31" s="35"/>
      <c r="D31" s="39"/>
      <c r="E31" s="57"/>
      <c r="F31" s="36"/>
      <c r="G31" s="36"/>
    </row>
    <row r="36" spans="5:9" x14ac:dyDescent="0.35">
      <c r="G36" s="59"/>
      <c r="H36" s="36"/>
      <c r="I36" s="36"/>
    </row>
    <row r="37" spans="5:9" x14ac:dyDescent="0.35">
      <c r="G37" s="59"/>
      <c r="H37" s="36"/>
      <c r="I37" s="36"/>
    </row>
    <row r="38" spans="5:9" x14ac:dyDescent="0.35">
      <c r="G38" s="60"/>
      <c r="H38" s="36"/>
    </row>
    <row r="39" spans="5:9" x14ac:dyDescent="0.35">
      <c r="G39" s="52"/>
    </row>
    <row r="40" spans="5:9" x14ac:dyDescent="0.35">
      <c r="E40" s="61"/>
      <c r="G40" s="62"/>
    </row>
    <row r="41" spans="5:9" x14ac:dyDescent="0.35">
      <c r="F41" s="63"/>
    </row>
    <row r="44" spans="5:9" x14ac:dyDescent="0.35">
      <c r="E44" s="61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34"/>
  <sheetViews>
    <sheetView zoomScale="75" zoomScaleNormal="75" zoomScaleSheetLayoutView="75" workbookViewId="0">
      <selection activeCell="F8" sqref="F8"/>
    </sheetView>
  </sheetViews>
  <sheetFormatPr defaultColWidth="8.7265625" defaultRowHeight="14" x14ac:dyDescent="0.3"/>
  <cols>
    <col min="1" max="1" width="19.1796875" style="9" customWidth="1"/>
    <col min="2" max="2" width="24" style="9" customWidth="1"/>
    <col min="3" max="3" width="22.26953125" style="9" customWidth="1"/>
    <col min="4" max="4" width="22" style="9" customWidth="1"/>
    <col min="5" max="16384" width="8.7265625" style="9"/>
  </cols>
  <sheetData>
    <row r="1" spans="1:13" x14ac:dyDescent="0.3">
      <c r="C1" s="9" t="s">
        <v>42</v>
      </c>
    </row>
    <row r="2" spans="1:13" x14ac:dyDescent="0.3">
      <c r="C2" s="9" t="s">
        <v>41</v>
      </c>
    </row>
    <row r="3" spans="1:13" x14ac:dyDescent="0.3">
      <c r="C3" s="9" t="s">
        <v>40</v>
      </c>
    </row>
    <row r="4" spans="1:13" x14ac:dyDescent="0.3">
      <c r="C4" s="9" t="s">
        <v>39</v>
      </c>
    </row>
    <row r="5" spans="1:13" x14ac:dyDescent="0.3">
      <c r="C5" s="139"/>
      <c r="D5" s="139"/>
    </row>
    <row r="6" spans="1:13" x14ac:dyDescent="0.3">
      <c r="C6" s="141"/>
      <c r="D6" s="141"/>
    </row>
    <row r="8" spans="1:13" ht="14.5" customHeight="1" x14ac:dyDescent="0.3">
      <c r="A8" s="138" t="s">
        <v>33</v>
      </c>
      <c r="B8" s="138"/>
      <c r="C8" s="138"/>
      <c r="D8" s="138"/>
    </row>
    <row r="9" spans="1:13" x14ac:dyDescent="0.3">
      <c r="A9" s="138" t="s">
        <v>43</v>
      </c>
      <c r="B9" s="138"/>
      <c r="C9" s="138"/>
      <c r="D9" s="138"/>
    </row>
    <row r="10" spans="1:13" ht="14.5" customHeight="1" x14ac:dyDescent="0.3">
      <c r="A10" s="138" t="s">
        <v>44</v>
      </c>
      <c r="B10" s="138"/>
      <c r="C10" s="138"/>
      <c r="D10" s="138"/>
    </row>
    <row r="11" spans="1:13" x14ac:dyDescent="0.3">
      <c r="A11" s="138" t="s">
        <v>28</v>
      </c>
      <c r="B11" s="138"/>
      <c r="C11" s="138"/>
      <c r="D11" s="138"/>
    </row>
    <row r="14" spans="1:13" ht="98" x14ac:dyDescent="0.3">
      <c r="A14" s="67" t="s">
        <v>7</v>
      </c>
      <c r="B14" s="67" t="s">
        <v>8</v>
      </c>
      <c r="C14" s="67" t="s">
        <v>9</v>
      </c>
      <c r="D14" s="67" t="s">
        <v>32</v>
      </c>
      <c r="J14" s="68"/>
      <c r="K14" s="68"/>
      <c r="L14" s="69"/>
      <c r="M14" s="69"/>
    </row>
    <row r="15" spans="1:13" ht="42" x14ac:dyDescent="0.3">
      <c r="A15" s="70" t="s">
        <v>11</v>
      </c>
      <c r="B15" s="105"/>
      <c r="C15" s="105"/>
      <c r="D15" s="105"/>
      <c r="H15" s="11"/>
      <c r="I15" s="11"/>
      <c r="J15" s="71"/>
      <c r="K15" s="11"/>
      <c r="M15" s="11"/>
    </row>
    <row r="16" spans="1:13" x14ac:dyDescent="0.3">
      <c r="A16" s="72" t="s">
        <v>12</v>
      </c>
      <c r="B16" s="22">
        <v>4758.2</v>
      </c>
      <c r="C16" s="22">
        <v>0.65200000000000002</v>
      </c>
      <c r="D16" s="22">
        <v>155</v>
      </c>
      <c r="G16" s="11"/>
      <c r="H16" s="85"/>
      <c r="I16" s="85"/>
      <c r="J16" s="85"/>
      <c r="K16" s="11"/>
      <c r="M16" s="11"/>
    </row>
    <row r="17" spans="1:11" x14ac:dyDescent="0.3">
      <c r="A17" s="72" t="s">
        <v>13</v>
      </c>
      <c r="B17" s="22">
        <v>7460.2</v>
      </c>
      <c r="C17" s="22">
        <v>2.1760000000000002</v>
      </c>
      <c r="D17" s="22">
        <v>840</v>
      </c>
      <c r="G17" s="11"/>
      <c r="H17" s="85"/>
      <c r="I17" s="85"/>
      <c r="J17" s="85"/>
      <c r="K17" s="11"/>
    </row>
    <row r="18" spans="1:11" x14ac:dyDescent="0.3">
      <c r="A18" s="72" t="s">
        <v>14</v>
      </c>
      <c r="B18" s="22" t="s">
        <v>4</v>
      </c>
      <c r="C18" s="22" t="s">
        <v>4</v>
      </c>
      <c r="D18" s="22" t="s">
        <v>4</v>
      </c>
      <c r="G18" s="11"/>
      <c r="H18" s="85"/>
      <c r="I18" s="85"/>
      <c r="J18" s="85"/>
      <c r="K18" s="11"/>
    </row>
    <row r="19" spans="1:11" ht="42" x14ac:dyDescent="0.3">
      <c r="A19" s="70" t="s">
        <v>15</v>
      </c>
      <c r="B19" s="23"/>
      <c r="C19" s="23"/>
      <c r="D19" s="105"/>
      <c r="G19" s="11"/>
      <c r="H19" s="10"/>
      <c r="I19" s="10"/>
      <c r="J19" s="11"/>
      <c r="K19" s="11"/>
    </row>
    <row r="20" spans="1:11" x14ac:dyDescent="0.3">
      <c r="A20" s="72" t="s">
        <v>12</v>
      </c>
      <c r="B20" s="22">
        <v>544.6</v>
      </c>
      <c r="C20" s="163">
        <v>0.16789999999999999</v>
      </c>
      <c r="D20" s="22">
        <v>37</v>
      </c>
      <c r="G20" s="11"/>
      <c r="H20" s="85"/>
      <c r="I20" s="85"/>
      <c r="J20" s="12"/>
      <c r="K20" s="11"/>
    </row>
    <row r="21" spans="1:11" x14ac:dyDescent="0.3">
      <c r="A21" s="72" t="s">
        <v>13</v>
      </c>
      <c r="B21" s="101">
        <v>256.2</v>
      </c>
      <c r="C21" s="22">
        <v>9.1999999999999998E-2</v>
      </c>
      <c r="D21" s="72">
        <v>15</v>
      </c>
      <c r="G21" s="11"/>
      <c r="H21" s="85"/>
      <c r="I21" s="85"/>
      <c r="J21" s="12"/>
      <c r="K21" s="11"/>
    </row>
    <row r="22" spans="1:11" x14ac:dyDescent="0.3">
      <c r="A22" s="72" t="s">
        <v>14</v>
      </c>
      <c r="B22" s="23" t="s">
        <v>4</v>
      </c>
      <c r="C22" s="106" t="s">
        <v>4</v>
      </c>
      <c r="D22" s="22" t="s">
        <v>4</v>
      </c>
    </row>
    <row r="23" spans="1:11" x14ac:dyDescent="0.3">
      <c r="A23" s="75"/>
      <c r="B23" s="74"/>
      <c r="C23" s="77"/>
      <c r="D23" s="75"/>
      <c r="E23" s="75"/>
    </row>
    <row r="24" spans="1:11" x14ac:dyDescent="0.3">
      <c r="A24" s="76"/>
      <c r="B24" s="107">
        <f>B16+B17+B21+B20+'[1]Прил 2 к станд'!B14+'[1]Прил 2 к станд'!B15</f>
        <v>28920</v>
      </c>
      <c r="C24" s="164">
        <f>C16+C17+C21+C20</f>
        <v>3.0878999999999999</v>
      </c>
      <c r="D24" s="108">
        <f>D16+D17+D21+D20+'[1]Прил 2 к станд'!C14+'[1]Прил 2 к станд'!C15</f>
        <v>4237</v>
      </c>
      <c r="E24" s="75"/>
    </row>
    <row r="25" spans="1:11" x14ac:dyDescent="0.3">
      <c r="A25" s="75"/>
      <c r="B25" s="84"/>
      <c r="C25" s="11"/>
      <c r="E25" s="75"/>
    </row>
    <row r="26" spans="1:11" x14ac:dyDescent="0.3">
      <c r="A26" s="75"/>
      <c r="B26" s="73"/>
      <c r="C26" s="74"/>
      <c r="D26" s="75"/>
      <c r="E26" s="75"/>
    </row>
    <row r="27" spans="1:11" x14ac:dyDescent="0.3">
      <c r="A27" s="75"/>
      <c r="B27" s="75"/>
      <c r="C27" s="75"/>
      <c r="D27" s="75"/>
      <c r="E27" s="75"/>
    </row>
    <row r="28" spans="1:11" x14ac:dyDescent="0.3">
      <c r="A28" s="75"/>
      <c r="B28" s="75"/>
      <c r="C28" s="75"/>
      <c r="D28" s="75"/>
      <c r="E28" s="75"/>
    </row>
    <row r="29" spans="1:11" x14ac:dyDescent="0.3">
      <c r="A29" s="75"/>
      <c r="B29" s="75"/>
      <c r="C29" s="75"/>
      <c r="D29" s="75"/>
      <c r="E29" s="75"/>
    </row>
    <row r="30" spans="1:11" x14ac:dyDescent="0.3">
      <c r="A30" s="75"/>
      <c r="B30" s="75"/>
      <c r="C30" s="75"/>
      <c r="D30" s="75"/>
      <c r="E30" s="75"/>
    </row>
    <row r="31" spans="1:11" x14ac:dyDescent="0.3">
      <c r="A31" s="75"/>
      <c r="B31" s="75"/>
      <c r="C31" s="75"/>
      <c r="D31" s="75"/>
      <c r="E31" s="75"/>
    </row>
    <row r="32" spans="1:11" x14ac:dyDescent="0.3">
      <c r="A32" s="75"/>
      <c r="B32" s="75"/>
      <c r="C32" s="75"/>
      <c r="D32" s="75"/>
      <c r="E32" s="75"/>
    </row>
    <row r="33" spans="1:5" x14ac:dyDescent="0.3">
      <c r="A33" s="75"/>
      <c r="B33" s="75"/>
      <c r="C33" s="75"/>
      <c r="D33" s="75"/>
      <c r="E33" s="75"/>
    </row>
    <row r="34" spans="1:5" x14ac:dyDescent="0.3">
      <c r="A34" s="75"/>
      <c r="B34" s="75"/>
      <c r="C34" s="75"/>
      <c r="D34" s="75"/>
      <c r="E34" s="75"/>
    </row>
  </sheetData>
  <mergeCells count="6">
    <mergeCell ref="A8:D8"/>
    <mergeCell ref="A9:D9"/>
    <mergeCell ref="A11:D11"/>
    <mergeCell ref="C5:D5"/>
    <mergeCell ref="C6:D6"/>
    <mergeCell ref="A10:D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M24"/>
  <sheetViews>
    <sheetView zoomScale="75" zoomScaleNormal="75" workbookViewId="0">
      <selection activeCell="H6" sqref="H6"/>
    </sheetView>
  </sheetViews>
  <sheetFormatPr defaultColWidth="8.7265625" defaultRowHeight="14" x14ac:dyDescent="0.3"/>
  <cols>
    <col min="1" max="1" width="32.26953125" style="1" customWidth="1"/>
    <col min="2" max="9" width="14.1796875" style="1" customWidth="1"/>
    <col min="10" max="10" width="16.81640625" style="1" customWidth="1"/>
    <col min="11" max="16384" width="8.7265625" style="1"/>
  </cols>
  <sheetData>
    <row r="1" spans="1:13" x14ac:dyDescent="0.3">
      <c r="H1" s="1" t="s">
        <v>45</v>
      </c>
    </row>
    <row r="2" spans="1:13" x14ac:dyDescent="0.3">
      <c r="H2" s="1" t="s">
        <v>0</v>
      </c>
    </row>
    <row r="3" spans="1:13" x14ac:dyDescent="0.3">
      <c r="H3" s="1" t="s">
        <v>16</v>
      </c>
    </row>
    <row r="4" spans="1:13" x14ac:dyDescent="0.3">
      <c r="H4" s="1" t="s">
        <v>1</v>
      </c>
    </row>
    <row r="5" spans="1:13" x14ac:dyDescent="0.3">
      <c r="H5" s="18"/>
      <c r="I5" s="18"/>
    </row>
    <row r="6" spans="1:13" x14ac:dyDescent="0.3">
      <c r="H6" s="18"/>
      <c r="I6" s="18"/>
    </row>
    <row r="7" spans="1:13" ht="14.5" customHeight="1" x14ac:dyDescent="0.3">
      <c r="A7" s="143" t="s">
        <v>18</v>
      </c>
      <c r="B7" s="143"/>
      <c r="C7" s="143"/>
      <c r="D7" s="143"/>
      <c r="E7" s="143"/>
      <c r="F7" s="143"/>
      <c r="G7" s="143"/>
      <c r="H7" s="143"/>
      <c r="I7" s="143"/>
      <c r="J7" s="143"/>
      <c r="L7" s="9"/>
      <c r="M7" s="9"/>
    </row>
    <row r="8" spans="1:13" ht="14.5" customHeight="1" x14ac:dyDescent="0.3">
      <c r="A8" s="143" t="s">
        <v>20</v>
      </c>
      <c r="B8" s="143"/>
      <c r="C8" s="143"/>
      <c r="D8" s="143"/>
      <c r="E8" s="143"/>
      <c r="F8" s="143"/>
      <c r="G8" s="143"/>
      <c r="H8" s="143"/>
      <c r="I8" s="143"/>
      <c r="J8" s="143"/>
      <c r="L8" s="9"/>
      <c r="M8" s="9"/>
    </row>
    <row r="9" spans="1:13" ht="14.5" customHeight="1" x14ac:dyDescent="0.3">
      <c r="A9" s="143" t="s">
        <v>19</v>
      </c>
      <c r="B9" s="143"/>
      <c r="C9" s="143"/>
      <c r="D9" s="143"/>
      <c r="E9" s="143"/>
      <c r="F9" s="143"/>
      <c r="G9" s="143"/>
      <c r="H9" s="143"/>
      <c r="I9" s="143"/>
      <c r="J9" s="143"/>
      <c r="L9" s="9"/>
      <c r="M9" s="9"/>
    </row>
    <row r="10" spans="1:13" x14ac:dyDescent="0.3">
      <c r="L10" s="9"/>
      <c r="M10" s="9"/>
    </row>
    <row r="11" spans="1:13" x14ac:dyDescent="0.3">
      <c r="L11" s="9"/>
      <c r="M11" s="9"/>
    </row>
    <row r="12" spans="1:13" ht="24" customHeight="1" x14ac:dyDescent="0.3">
      <c r="A12" s="144" t="s">
        <v>30</v>
      </c>
      <c r="B12" s="145" t="s">
        <v>22</v>
      </c>
      <c r="C12" s="145"/>
      <c r="D12" s="145"/>
      <c r="E12" s="145" t="s">
        <v>21</v>
      </c>
      <c r="F12" s="145"/>
      <c r="G12" s="145"/>
      <c r="H12" s="145" t="s">
        <v>29</v>
      </c>
      <c r="I12" s="145"/>
      <c r="J12" s="145"/>
      <c r="L12" s="9"/>
      <c r="M12" s="9"/>
    </row>
    <row r="13" spans="1:13" ht="24" customHeight="1" x14ac:dyDescent="0.3">
      <c r="A13" s="144"/>
      <c r="B13" s="83" t="s">
        <v>12</v>
      </c>
      <c r="C13" s="83" t="s">
        <v>13</v>
      </c>
      <c r="D13" s="82" t="s">
        <v>17</v>
      </c>
      <c r="E13" s="83" t="s">
        <v>12</v>
      </c>
      <c r="F13" s="83" t="s">
        <v>13</v>
      </c>
      <c r="G13" s="82" t="s">
        <v>17</v>
      </c>
      <c r="H13" s="83" t="s">
        <v>12</v>
      </c>
      <c r="I13" s="83" t="s">
        <v>13</v>
      </c>
      <c r="J13" s="82" t="s">
        <v>17</v>
      </c>
      <c r="L13" s="9"/>
      <c r="M13" s="9"/>
    </row>
    <row r="14" spans="1:13" ht="21" customHeight="1" x14ac:dyDescent="0.3">
      <c r="A14" s="6" t="s">
        <v>46</v>
      </c>
      <c r="B14" s="83">
        <v>501</v>
      </c>
      <c r="C14" s="83" t="s">
        <v>4</v>
      </c>
      <c r="D14" s="83" t="s">
        <v>4</v>
      </c>
      <c r="E14" s="83">
        <v>5868.1270000000004</v>
      </c>
      <c r="F14" s="83" t="s">
        <v>4</v>
      </c>
      <c r="G14" s="83" t="s">
        <v>4</v>
      </c>
      <c r="H14" s="83">
        <v>1405.48</v>
      </c>
      <c r="I14" s="83" t="s">
        <v>4</v>
      </c>
      <c r="J14" s="83" t="s">
        <v>4</v>
      </c>
      <c r="L14" s="9"/>
      <c r="M14" s="9"/>
    </row>
    <row r="15" spans="1:13" ht="21" customHeight="1" x14ac:dyDescent="0.3">
      <c r="A15" s="6" t="s">
        <v>52</v>
      </c>
      <c r="B15" s="83">
        <v>462</v>
      </c>
      <c r="C15" s="83" t="s">
        <v>4</v>
      </c>
      <c r="D15" s="83" t="s">
        <v>4</v>
      </c>
      <c r="E15" s="83">
        <v>5427.1270000000004</v>
      </c>
      <c r="F15" s="83" t="s">
        <v>4</v>
      </c>
      <c r="G15" s="83" t="s">
        <v>4</v>
      </c>
      <c r="H15" s="83">
        <v>211.75</v>
      </c>
      <c r="I15" s="83" t="s">
        <v>4</v>
      </c>
      <c r="J15" s="83" t="s">
        <v>4</v>
      </c>
      <c r="L15" s="9"/>
      <c r="M15" s="16"/>
    </row>
    <row r="16" spans="1:13" ht="21" customHeight="1" x14ac:dyDescent="0.3">
      <c r="A16" s="6" t="s">
        <v>47</v>
      </c>
      <c r="B16" s="83">
        <v>82</v>
      </c>
      <c r="C16" s="83">
        <v>5</v>
      </c>
      <c r="D16" s="83" t="s">
        <v>4</v>
      </c>
      <c r="E16" s="83">
        <v>5686.7</v>
      </c>
      <c r="F16" s="83">
        <v>600</v>
      </c>
      <c r="G16" s="83" t="s">
        <v>4</v>
      </c>
      <c r="H16" s="83">
        <v>7168.13</v>
      </c>
      <c r="I16" s="83">
        <v>875.29</v>
      </c>
      <c r="J16" s="83" t="s">
        <v>4</v>
      </c>
    </row>
    <row r="17" spans="1:10" ht="21" customHeight="1" x14ac:dyDescent="0.3">
      <c r="A17" s="6" t="s">
        <v>53</v>
      </c>
      <c r="B17" s="83" t="s">
        <v>4</v>
      </c>
      <c r="C17" s="83" t="s">
        <v>4</v>
      </c>
      <c r="D17" s="83" t="s">
        <v>4</v>
      </c>
      <c r="E17" s="83" t="s">
        <v>4</v>
      </c>
      <c r="F17" s="83" t="s">
        <v>4</v>
      </c>
      <c r="G17" s="83" t="s">
        <v>4</v>
      </c>
      <c r="H17" s="83" t="s">
        <v>4</v>
      </c>
      <c r="I17" s="83" t="s">
        <v>4</v>
      </c>
      <c r="J17" s="83" t="s">
        <v>4</v>
      </c>
    </row>
    <row r="18" spans="1:10" ht="21" customHeight="1" x14ac:dyDescent="0.3">
      <c r="A18" s="6" t="s">
        <v>49</v>
      </c>
      <c r="B18" s="83">
        <v>13</v>
      </c>
      <c r="C18" s="83">
        <v>1</v>
      </c>
      <c r="D18" s="83" t="s">
        <v>4</v>
      </c>
      <c r="E18" s="83">
        <v>3859.25</v>
      </c>
      <c r="F18" s="83">
        <v>350</v>
      </c>
      <c r="G18" s="83" t="s">
        <v>4</v>
      </c>
      <c r="H18" s="83">
        <v>10113.9</v>
      </c>
      <c r="I18" s="83">
        <v>555.66999999999996</v>
      </c>
      <c r="J18" s="83" t="s">
        <v>4</v>
      </c>
    </row>
    <row r="19" spans="1:10" ht="31.5" customHeight="1" x14ac:dyDescent="0.3">
      <c r="A19" s="19" t="s">
        <v>48</v>
      </c>
      <c r="B19" s="83" t="s">
        <v>4</v>
      </c>
      <c r="C19" s="83" t="s">
        <v>4</v>
      </c>
      <c r="D19" s="83" t="s">
        <v>4</v>
      </c>
      <c r="E19" s="83" t="s">
        <v>4</v>
      </c>
      <c r="F19" s="83" t="s">
        <v>4</v>
      </c>
      <c r="G19" s="83" t="s">
        <v>4</v>
      </c>
      <c r="H19" s="83" t="s">
        <v>4</v>
      </c>
      <c r="I19" s="83" t="s">
        <v>4</v>
      </c>
      <c r="J19" s="83" t="s">
        <v>4</v>
      </c>
    </row>
    <row r="20" spans="1:10" ht="21" customHeight="1" x14ac:dyDescent="0.3">
      <c r="A20" s="6" t="s">
        <v>138</v>
      </c>
      <c r="B20" s="83">
        <v>1</v>
      </c>
      <c r="C20" s="83">
        <v>4</v>
      </c>
      <c r="D20" s="83" t="s">
        <v>4</v>
      </c>
      <c r="E20" s="83">
        <v>918.22</v>
      </c>
      <c r="F20" s="83">
        <v>13253</v>
      </c>
      <c r="G20" s="83" t="s">
        <v>4</v>
      </c>
      <c r="H20" s="83">
        <v>79.31</v>
      </c>
      <c r="I20" s="83">
        <v>36695.879999999997</v>
      </c>
      <c r="J20" s="83" t="s">
        <v>4</v>
      </c>
    </row>
    <row r="21" spans="1:10" ht="31.5" customHeight="1" x14ac:dyDescent="0.3">
      <c r="A21" s="19" t="s">
        <v>48</v>
      </c>
      <c r="B21" s="83" t="s">
        <v>4</v>
      </c>
      <c r="C21" s="83" t="s">
        <v>4</v>
      </c>
      <c r="D21" s="83" t="s">
        <v>4</v>
      </c>
      <c r="E21" s="83" t="s">
        <v>4</v>
      </c>
      <c r="F21" s="83" t="s">
        <v>4</v>
      </c>
      <c r="G21" s="83" t="s">
        <v>4</v>
      </c>
      <c r="H21" s="83" t="s">
        <v>4</v>
      </c>
      <c r="I21" s="83" t="s">
        <v>4</v>
      </c>
      <c r="J21" s="83" t="s">
        <v>4</v>
      </c>
    </row>
    <row r="23" spans="1:10" ht="45" customHeight="1" x14ac:dyDescent="0.3">
      <c r="A23" s="1" t="s">
        <v>50</v>
      </c>
    </row>
    <row r="24" spans="1:10" ht="59" customHeight="1" x14ac:dyDescent="0.3">
      <c r="A24" s="142" t="s">
        <v>51</v>
      </c>
      <c r="B24" s="142"/>
      <c r="C24" s="142"/>
      <c r="D24" s="142"/>
      <c r="E24" s="142"/>
      <c r="F24" s="142"/>
      <c r="G24" s="142"/>
      <c r="H24" s="142"/>
      <c r="I24" s="142"/>
      <c r="J24" s="142"/>
    </row>
  </sheetData>
  <mergeCells count="8">
    <mergeCell ref="A24:J24"/>
    <mergeCell ref="A7:J7"/>
    <mergeCell ref="A8:J8"/>
    <mergeCell ref="A9:J9"/>
    <mergeCell ref="A12:A13"/>
    <mergeCell ref="E12:G12"/>
    <mergeCell ref="B12:D12"/>
    <mergeCell ref="H12:J1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23"/>
  <sheetViews>
    <sheetView zoomScale="75" zoomScaleNormal="75" workbookViewId="0">
      <selection activeCell="D6" sqref="D6"/>
    </sheetView>
  </sheetViews>
  <sheetFormatPr defaultColWidth="8.7265625" defaultRowHeight="14" x14ac:dyDescent="0.3"/>
  <cols>
    <col min="1" max="1" width="35.7265625" style="1" customWidth="1"/>
    <col min="2" max="2" width="10" style="1" customWidth="1"/>
    <col min="3" max="3" width="9.81640625" style="1" customWidth="1"/>
    <col min="4" max="4" width="10.81640625" style="1" customWidth="1"/>
    <col min="5" max="5" width="11" style="1" customWidth="1"/>
    <col min="6" max="6" width="9.26953125" style="1" customWidth="1"/>
    <col min="7" max="7" width="12.54296875" style="1" customWidth="1"/>
    <col min="8" max="8" width="13.453125" style="1" customWidth="1"/>
    <col min="9" max="9" width="13" style="1" customWidth="1"/>
    <col min="10" max="10" width="13.26953125" style="1" customWidth="1"/>
    <col min="11" max="16384" width="8.7265625" style="1"/>
  </cols>
  <sheetData>
    <row r="1" spans="1:10" x14ac:dyDescent="0.3">
      <c r="D1" s="1" t="s">
        <v>54</v>
      </c>
    </row>
    <row r="2" spans="1:10" x14ac:dyDescent="0.3">
      <c r="D2" s="1" t="s">
        <v>23</v>
      </c>
    </row>
    <row r="3" spans="1:10" x14ac:dyDescent="0.3">
      <c r="D3" s="1" t="s">
        <v>24</v>
      </c>
    </row>
    <row r="4" spans="1:10" x14ac:dyDescent="0.3">
      <c r="D4" s="1" t="s">
        <v>25</v>
      </c>
    </row>
    <row r="5" spans="1:10" x14ac:dyDescent="0.3">
      <c r="D5" s="18"/>
    </row>
    <row r="6" spans="1:10" x14ac:dyDescent="0.3">
      <c r="D6" s="18"/>
    </row>
    <row r="7" spans="1:10" ht="24" customHeight="1" x14ac:dyDescent="0.3">
      <c r="A7" s="143" t="s">
        <v>33</v>
      </c>
      <c r="B7" s="143"/>
      <c r="C7" s="143"/>
      <c r="D7" s="143"/>
      <c r="E7" s="143"/>
      <c r="F7" s="143"/>
      <c r="G7" s="143"/>
      <c r="H7" s="17"/>
    </row>
    <row r="8" spans="1:10" x14ac:dyDescent="0.3">
      <c r="A8" s="143" t="s">
        <v>55</v>
      </c>
      <c r="B8" s="143"/>
      <c r="C8" s="143"/>
      <c r="D8" s="143"/>
      <c r="E8" s="143"/>
      <c r="F8" s="143"/>
      <c r="G8" s="143"/>
      <c r="H8" s="4"/>
    </row>
    <row r="11" spans="1:10" x14ac:dyDescent="0.3">
      <c r="A11" s="144" t="s">
        <v>30</v>
      </c>
      <c r="B11" s="146" t="s">
        <v>26</v>
      </c>
      <c r="C11" s="146"/>
      <c r="D11" s="146"/>
      <c r="E11" s="146" t="s">
        <v>21</v>
      </c>
      <c r="F11" s="146"/>
      <c r="G11" s="146"/>
      <c r="H11" s="3"/>
      <c r="I11" s="3"/>
      <c r="J11" s="3"/>
    </row>
    <row r="12" spans="1:10" ht="28" x14ac:dyDescent="0.3">
      <c r="A12" s="144"/>
      <c r="B12" s="15" t="s">
        <v>12</v>
      </c>
      <c r="C12" s="15" t="s">
        <v>13</v>
      </c>
      <c r="D12" s="14" t="s">
        <v>17</v>
      </c>
      <c r="E12" s="15" t="s">
        <v>12</v>
      </c>
      <c r="F12" s="15" t="s">
        <v>13</v>
      </c>
      <c r="G12" s="14" t="s">
        <v>17</v>
      </c>
      <c r="H12" s="5"/>
      <c r="I12" s="5"/>
      <c r="J12" s="2"/>
    </row>
    <row r="13" spans="1:10" x14ac:dyDescent="0.3">
      <c r="A13" s="6" t="s">
        <v>46</v>
      </c>
      <c r="B13" s="83">
        <v>681</v>
      </c>
      <c r="C13" s="83" t="s">
        <v>4</v>
      </c>
      <c r="D13" s="83" t="s">
        <v>4</v>
      </c>
      <c r="E13" s="83">
        <v>7846.924</v>
      </c>
      <c r="F13" s="83" t="s">
        <v>4</v>
      </c>
      <c r="G13" s="83" t="s">
        <v>4</v>
      </c>
      <c r="H13" s="3"/>
      <c r="I13" s="3"/>
      <c r="J13" s="3"/>
    </row>
    <row r="14" spans="1:10" x14ac:dyDescent="0.3">
      <c r="A14" s="6" t="s">
        <v>52</v>
      </c>
      <c r="B14" s="83">
        <v>560</v>
      </c>
      <c r="C14" s="83" t="s">
        <v>4</v>
      </c>
      <c r="D14" s="83" t="s">
        <v>4</v>
      </c>
      <c r="E14" s="83">
        <v>6332.817</v>
      </c>
      <c r="F14" s="83" t="s">
        <v>4</v>
      </c>
      <c r="G14" s="83" t="s">
        <v>4</v>
      </c>
      <c r="H14" s="3"/>
      <c r="I14" s="3"/>
      <c r="J14" s="3"/>
    </row>
    <row r="15" spans="1:10" ht="15.65" customHeight="1" x14ac:dyDescent="0.3">
      <c r="A15" s="6" t="s">
        <v>47</v>
      </c>
      <c r="B15" s="83">
        <v>158</v>
      </c>
      <c r="C15" s="83">
        <v>6</v>
      </c>
      <c r="D15" s="83" t="s">
        <v>4</v>
      </c>
      <c r="E15" s="83">
        <v>10440.4</v>
      </c>
      <c r="F15" s="83">
        <v>715</v>
      </c>
      <c r="G15" s="83" t="s">
        <v>4</v>
      </c>
      <c r="H15" s="3"/>
      <c r="I15" s="3"/>
      <c r="J15" s="3"/>
    </row>
    <row r="16" spans="1:10" x14ac:dyDescent="0.3">
      <c r="A16" s="6" t="s">
        <v>53</v>
      </c>
      <c r="B16" s="83" t="s">
        <v>4</v>
      </c>
      <c r="C16" s="83" t="s">
        <v>4</v>
      </c>
      <c r="D16" s="83" t="s">
        <v>4</v>
      </c>
      <c r="E16" s="83" t="s">
        <v>4</v>
      </c>
      <c r="F16" s="83" t="s">
        <v>4</v>
      </c>
      <c r="G16" s="83" t="s">
        <v>4</v>
      </c>
      <c r="H16" s="3"/>
      <c r="I16" s="3"/>
      <c r="J16" s="3"/>
    </row>
    <row r="17" spans="1:10" x14ac:dyDescent="0.3">
      <c r="A17" s="6" t="s">
        <v>49</v>
      </c>
      <c r="B17" s="83">
        <v>28</v>
      </c>
      <c r="C17" s="83">
        <v>4</v>
      </c>
      <c r="D17" s="83" t="s">
        <v>4</v>
      </c>
      <c r="E17" s="83">
        <v>10184.18</v>
      </c>
      <c r="F17" s="83">
        <v>1613</v>
      </c>
      <c r="G17" s="83" t="s">
        <v>4</v>
      </c>
      <c r="H17" s="3"/>
      <c r="I17" s="3"/>
      <c r="J17" s="3"/>
    </row>
    <row r="18" spans="1:10" ht="28" x14ac:dyDescent="0.3">
      <c r="A18" s="19" t="s">
        <v>48</v>
      </c>
      <c r="B18" s="83" t="s">
        <v>4</v>
      </c>
      <c r="C18" s="83" t="s">
        <v>4</v>
      </c>
      <c r="D18" s="83" t="s">
        <v>4</v>
      </c>
      <c r="E18" s="83" t="s">
        <v>4</v>
      </c>
      <c r="F18" s="83" t="s">
        <v>4</v>
      </c>
      <c r="G18" s="83" t="s">
        <v>4</v>
      </c>
      <c r="H18" s="3"/>
      <c r="I18" s="3"/>
      <c r="J18" s="3"/>
    </row>
    <row r="19" spans="1:10" x14ac:dyDescent="0.3">
      <c r="A19" s="6" t="s">
        <v>138</v>
      </c>
      <c r="B19" s="83">
        <v>5</v>
      </c>
      <c r="C19" s="83">
        <v>11</v>
      </c>
      <c r="D19" s="83" t="s">
        <v>4</v>
      </c>
      <c r="E19" s="83">
        <v>4546.59</v>
      </c>
      <c r="F19" s="83">
        <v>20753</v>
      </c>
      <c r="G19" s="83" t="s">
        <v>4</v>
      </c>
      <c r="H19" s="3"/>
      <c r="I19" s="3"/>
      <c r="J19" s="3"/>
    </row>
    <row r="20" spans="1:10" ht="28" x14ac:dyDescent="0.3">
      <c r="A20" s="19" t="s">
        <v>48</v>
      </c>
      <c r="B20" s="83" t="s">
        <v>4</v>
      </c>
      <c r="C20" s="83" t="s">
        <v>4</v>
      </c>
      <c r="D20" s="83" t="s">
        <v>4</v>
      </c>
      <c r="E20" s="83" t="s">
        <v>4</v>
      </c>
      <c r="F20" s="83" t="s">
        <v>4</v>
      </c>
      <c r="G20" s="83" t="s">
        <v>4</v>
      </c>
      <c r="H20" s="5"/>
      <c r="I20" s="5"/>
      <c r="J20" s="5"/>
    </row>
    <row r="22" spans="1:10" ht="34.5" customHeight="1" x14ac:dyDescent="0.3">
      <c r="A22" s="142" t="s">
        <v>50</v>
      </c>
      <c r="B22" s="142"/>
      <c r="C22" s="142"/>
      <c r="D22" s="142"/>
      <c r="E22" s="142"/>
      <c r="F22" s="142"/>
      <c r="G22" s="142"/>
    </row>
    <row r="23" spans="1:10" ht="108" customHeight="1" x14ac:dyDescent="0.3">
      <c r="A23" s="142" t="s">
        <v>51</v>
      </c>
      <c r="B23" s="142"/>
      <c r="C23" s="142"/>
      <c r="D23" s="142"/>
      <c r="E23" s="142"/>
      <c r="F23" s="142"/>
      <c r="G23" s="142"/>
      <c r="H23" s="20"/>
      <c r="I23" s="20"/>
      <c r="J23" s="20"/>
    </row>
  </sheetData>
  <mergeCells count="7">
    <mergeCell ref="A22:G22"/>
    <mergeCell ref="A23:G23"/>
    <mergeCell ref="A7:G7"/>
    <mergeCell ref="A8:G8"/>
    <mergeCell ref="A11:A12"/>
    <mergeCell ref="B11:D11"/>
    <mergeCell ref="E11:G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31"/>
  <sheetViews>
    <sheetView zoomScale="75" zoomScaleNormal="75" workbookViewId="0">
      <selection activeCell="J4" sqref="J4"/>
    </sheetView>
  </sheetViews>
  <sheetFormatPr defaultColWidth="8.7265625" defaultRowHeight="14" x14ac:dyDescent="0.3"/>
  <cols>
    <col min="1" max="1" width="11.54296875" style="9" bestFit="1" customWidth="1"/>
    <col min="2" max="2" width="31.26953125" style="9" customWidth="1"/>
    <col min="3" max="3" width="8.7265625" style="9"/>
    <col min="4" max="4" width="12.54296875" style="9" customWidth="1"/>
    <col min="5" max="5" width="18.54296875" style="9" customWidth="1"/>
    <col min="6" max="6" width="13.453125" style="9" customWidth="1"/>
    <col min="7" max="7" width="19.6328125" style="9" customWidth="1"/>
    <col min="8" max="8" width="9.7265625" style="9" customWidth="1"/>
    <col min="9" max="16384" width="8.7265625" style="9"/>
  </cols>
  <sheetData>
    <row r="1" spans="1:8" x14ac:dyDescent="0.3">
      <c r="A1" s="86"/>
      <c r="G1" s="9" t="s">
        <v>57</v>
      </c>
    </row>
    <row r="2" spans="1:8" ht="49" customHeight="1" x14ac:dyDescent="0.3">
      <c r="A2" s="86"/>
      <c r="E2" s="147" t="s">
        <v>58</v>
      </c>
      <c r="F2" s="147"/>
      <c r="G2" s="147"/>
    </row>
    <row r="3" spans="1:8" ht="51.65" customHeight="1" x14ac:dyDescent="0.3">
      <c r="A3" s="148" t="s">
        <v>141</v>
      </c>
      <c r="B3" s="148"/>
      <c r="C3" s="148"/>
      <c r="D3" s="148"/>
      <c r="E3" s="148"/>
      <c r="F3" s="148"/>
      <c r="G3" s="148"/>
    </row>
    <row r="4" spans="1:8" ht="134" customHeight="1" x14ac:dyDescent="0.3">
      <c r="A4" s="21" t="s">
        <v>59</v>
      </c>
      <c r="B4" s="21" t="s">
        <v>142</v>
      </c>
      <c r="C4" s="21" t="s">
        <v>60</v>
      </c>
      <c r="D4" s="21" t="s">
        <v>61</v>
      </c>
      <c r="E4" s="21" t="s">
        <v>173</v>
      </c>
      <c r="F4" s="21" t="s">
        <v>62</v>
      </c>
      <c r="G4" s="21" t="s">
        <v>146</v>
      </c>
    </row>
    <row r="5" spans="1:8" ht="14.5" customHeight="1" x14ac:dyDescent="0.3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8" ht="22.5" customHeight="1" x14ac:dyDescent="0.3">
      <c r="A6" s="23" t="s">
        <v>63</v>
      </c>
      <c r="B6" s="24" t="s">
        <v>64</v>
      </c>
      <c r="C6" s="21"/>
      <c r="D6" s="21"/>
      <c r="E6" s="21"/>
      <c r="F6" s="21"/>
      <c r="G6" s="21"/>
    </row>
    <row r="7" spans="1:8" ht="31" customHeight="1" x14ac:dyDescent="0.3">
      <c r="A7" s="161" t="s">
        <v>147</v>
      </c>
      <c r="B7" s="21" t="s">
        <v>148</v>
      </c>
      <c r="C7" s="21">
        <v>2020</v>
      </c>
      <c r="D7" s="21">
        <v>10</v>
      </c>
      <c r="E7" s="21">
        <v>92</v>
      </c>
      <c r="F7" s="21">
        <v>15</v>
      </c>
      <c r="G7" s="21">
        <v>256233.46</v>
      </c>
    </row>
    <row r="8" spans="1:8" ht="24" customHeight="1" x14ac:dyDescent="0.3">
      <c r="A8" s="161" t="s">
        <v>176</v>
      </c>
      <c r="B8" s="21" t="s">
        <v>177</v>
      </c>
      <c r="C8" s="21">
        <v>2020</v>
      </c>
      <c r="D8" s="21">
        <v>0.4</v>
      </c>
      <c r="E8" s="21">
        <v>46</v>
      </c>
      <c r="F8" s="21">
        <v>15</v>
      </c>
      <c r="G8" s="162">
        <v>219834.77</v>
      </c>
    </row>
    <row r="9" spans="1:8" ht="30" customHeight="1" x14ac:dyDescent="0.3">
      <c r="A9" s="161" t="s">
        <v>176</v>
      </c>
      <c r="B9" s="21" t="s">
        <v>178</v>
      </c>
      <c r="C9" s="21">
        <v>2020</v>
      </c>
      <c r="D9" s="21">
        <v>0.4</v>
      </c>
      <c r="E9" s="21">
        <v>46.9</v>
      </c>
      <c r="F9" s="21">
        <v>15</v>
      </c>
      <c r="G9" s="162">
        <v>142942.68</v>
      </c>
    </row>
    <row r="10" spans="1:8" ht="30" customHeight="1" x14ac:dyDescent="0.3">
      <c r="A10" s="161" t="s">
        <v>176</v>
      </c>
      <c r="B10" s="21" t="s">
        <v>177</v>
      </c>
      <c r="C10" s="21">
        <v>2020</v>
      </c>
      <c r="D10" s="21">
        <v>0.4</v>
      </c>
      <c r="E10" s="21">
        <v>75</v>
      </c>
      <c r="F10" s="21">
        <v>7</v>
      </c>
      <c r="G10" s="162">
        <v>181864.58</v>
      </c>
    </row>
    <row r="11" spans="1:8" ht="30" customHeight="1" x14ac:dyDescent="0.3">
      <c r="A11" s="23" t="s">
        <v>65</v>
      </c>
      <c r="B11" s="24" t="s">
        <v>66</v>
      </c>
      <c r="C11" s="21"/>
      <c r="D11" s="21"/>
      <c r="E11" s="21"/>
      <c r="F11" s="21"/>
      <c r="G11" s="21"/>
    </row>
    <row r="12" spans="1:8" ht="30" customHeight="1" x14ac:dyDescent="0.3">
      <c r="A12" s="161" t="s">
        <v>149</v>
      </c>
      <c r="B12" s="67" t="s">
        <v>67</v>
      </c>
      <c r="C12" s="21">
        <v>2018</v>
      </c>
      <c r="D12" s="21">
        <v>6</v>
      </c>
      <c r="E12" s="21">
        <v>682</v>
      </c>
      <c r="F12" s="21">
        <v>60</v>
      </c>
      <c r="G12" s="21">
        <v>2583767.4</v>
      </c>
      <c r="H12" s="25"/>
    </row>
    <row r="13" spans="1:8" ht="30" customHeight="1" x14ac:dyDescent="0.3">
      <c r="A13" s="161" t="s">
        <v>150</v>
      </c>
      <c r="B13" s="67" t="s">
        <v>68</v>
      </c>
      <c r="C13" s="21">
        <v>2018</v>
      </c>
      <c r="D13" s="21">
        <v>0.4</v>
      </c>
      <c r="E13" s="21">
        <v>540</v>
      </c>
      <c r="F13" s="21">
        <v>140</v>
      </c>
      <c r="G13" s="21">
        <v>4300786.6100000003</v>
      </c>
      <c r="H13" s="25"/>
    </row>
    <row r="14" spans="1:8" ht="30" customHeight="1" x14ac:dyDescent="0.3">
      <c r="A14" s="161" t="s">
        <v>149</v>
      </c>
      <c r="B14" s="67" t="s">
        <v>69</v>
      </c>
      <c r="C14" s="21">
        <v>2018</v>
      </c>
      <c r="D14" s="21">
        <v>10</v>
      </c>
      <c r="E14" s="21">
        <f>2*433</f>
        <v>866</v>
      </c>
      <c r="F14" s="21">
        <v>375</v>
      </c>
      <c r="G14" s="21">
        <f>813449.74*2</f>
        <v>1626899.48</v>
      </c>
      <c r="H14" s="25"/>
    </row>
    <row r="15" spans="1:8" ht="30" customHeight="1" x14ac:dyDescent="0.3">
      <c r="A15" s="161" t="s">
        <v>151</v>
      </c>
      <c r="B15" s="67" t="s">
        <v>139</v>
      </c>
      <c r="C15" s="21">
        <v>2019</v>
      </c>
      <c r="D15" s="21">
        <v>6</v>
      </c>
      <c r="E15" s="21">
        <v>104</v>
      </c>
      <c r="F15" s="21">
        <v>115</v>
      </c>
      <c r="G15" s="21">
        <v>1001978.06</v>
      </c>
      <c r="H15" s="25"/>
    </row>
    <row r="16" spans="1:8" ht="23.5" customHeight="1" x14ac:dyDescent="0.3">
      <c r="A16" s="161" t="s">
        <v>149</v>
      </c>
      <c r="B16" s="67" t="s">
        <v>67</v>
      </c>
      <c r="C16" s="21">
        <v>2019</v>
      </c>
      <c r="D16" s="21">
        <v>6</v>
      </c>
      <c r="E16" s="21">
        <v>252</v>
      </c>
      <c r="F16" s="21">
        <v>150</v>
      </c>
      <c r="G16" s="21">
        <v>681050.79</v>
      </c>
      <c r="H16" s="25"/>
    </row>
    <row r="17" spans="1:8" ht="24.5" customHeight="1" x14ac:dyDescent="0.3">
      <c r="A17" s="161" t="s">
        <v>151</v>
      </c>
      <c r="B17" s="67" t="s">
        <v>152</v>
      </c>
      <c r="C17" s="21">
        <v>2020</v>
      </c>
      <c r="D17" s="21">
        <v>10</v>
      </c>
      <c r="E17" s="21">
        <v>149</v>
      </c>
      <c r="F17" s="21">
        <v>15</v>
      </c>
      <c r="G17" s="21">
        <v>536612.85</v>
      </c>
    </row>
    <row r="18" spans="1:8" ht="24.5" customHeight="1" x14ac:dyDescent="0.3">
      <c r="A18" s="161" t="s">
        <v>151</v>
      </c>
      <c r="B18" s="67" t="s">
        <v>153</v>
      </c>
      <c r="C18" s="21">
        <v>2020</v>
      </c>
      <c r="D18" s="21">
        <v>0.4</v>
      </c>
      <c r="E18" s="21">
        <v>112</v>
      </c>
      <c r="F18" s="21">
        <v>15</v>
      </c>
      <c r="G18" s="21">
        <v>457373.33</v>
      </c>
    </row>
    <row r="19" spans="1:8" ht="24.5" customHeight="1" x14ac:dyDescent="0.3">
      <c r="A19" s="161" t="s">
        <v>151</v>
      </c>
      <c r="B19" s="67" t="s">
        <v>139</v>
      </c>
      <c r="C19" s="21">
        <v>2020</v>
      </c>
      <c r="D19" s="21">
        <v>6</v>
      </c>
      <c r="E19" s="21">
        <v>123</v>
      </c>
      <c r="F19" s="21">
        <v>125</v>
      </c>
      <c r="G19" s="21">
        <v>1029891.91</v>
      </c>
    </row>
    <row r="20" spans="1:8" ht="24.5" customHeight="1" x14ac:dyDescent="0.3">
      <c r="A20" s="23" t="s">
        <v>70</v>
      </c>
      <c r="B20" s="24" t="s">
        <v>71</v>
      </c>
      <c r="C20" s="22"/>
      <c r="D20" s="22"/>
      <c r="E20" s="22"/>
      <c r="F20" s="22"/>
      <c r="G20" s="22"/>
    </row>
    <row r="21" spans="1:8" ht="24.5" customHeight="1" x14ac:dyDescent="0.3">
      <c r="A21" s="22" t="s">
        <v>154</v>
      </c>
      <c r="B21" s="21" t="s">
        <v>73</v>
      </c>
      <c r="C21" s="22">
        <v>2018</v>
      </c>
      <c r="D21" s="22">
        <v>6</v>
      </c>
      <c r="E21" s="22" t="s">
        <v>4</v>
      </c>
      <c r="F21" s="22">
        <v>60</v>
      </c>
      <c r="G21" s="22">
        <v>1812000.35</v>
      </c>
    </row>
    <row r="22" spans="1:8" ht="24.5" customHeight="1" x14ac:dyDescent="0.3">
      <c r="A22" s="22" t="s">
        <v>155</v>
      </c>
      <c r="B22" s="21" t="s">
        <v>72</v>
      </c>
      <c r="C22" s="22">
        <v>2018</v>
      </c>
      <c r="D22" s="22">
        <v>10</v>
      </c>
      <c r="E22" s="22" t="s">
        <v>4</v>
      </c>
      <c r="F22" s="22">
        <v>375</v>
      </c>
      <c r="G22" s="22">
        <f>2*546152.25+6681744.45</f>
        <v>7774048.9500000002</v>
      </c>
    </row>
    <row r="23" spans="1:8" ht="24.5" customHeight="1" x14ac:dyDescent="0.3">
      <c r="A23" s="22" t="s">
        <v>156</v>
      </c>
      <c r="B23" s="21" t="s">
        <v>140</v>
      </c>
      <c r="C23" s="22">
        <v>2019</v>
      </c>
      <c r="D23" s="22">
        <v>6</v>
      </c>
      <c r="E23" s="22" t="s">
        <v>4</v>
      </c>
      <c r="F23" s="22">
        <v>150</v>
      </c>
      <c r="G23" s="22">
        <v>2480300.84</v>
      </c>
    </row>
    <row r="24" spans="1:8" ht="24.5" customHeight="1" x14ac:dyDescent="0.3">
      <c r="A24" s="22" t="s">
        <v>157</v>
      </c>
      <c r="B24" s="21" t="s">
        <v>158</v>
      </c>
      <c r="C24" s="22">
        <v>2020</v>
      </c>
      <c r="D24" s="22">
        <v>10</v>
      </c>
      <c r="E24" s="22" t="s">
        <v>4</v>
      </c>
      <c r="F24" s="22">
        <v>15</v>
      </c>
      <c r="G24" s="22">
        <v>494809.64</v>
      </c>
    </row>
    <row r="25" spans="1:8" ht="19.5" customHeight="1" x14ac:dyDescent="0.3">
      <c r="A25" s="105"/>
      <c r="B25" s="21" t="s">
        <v>76</v>
      </c>
      <c r="C25" s="22">
        <v>2018</v>
      </c>
      <c r="D25" s="22">
        <v>6</v>
      </c>
      <c r="E25" s="22" t="s">
        <v>4</v>
      </c>
      <c r="F25" s="22">
        <v>60</v>
      </c>
      <c r="G25" s="22">
        <v>96810.240000000005</v>
      </c>
    </row>
    <row r="26" spans="1:8" ht="19.5" customHeight="1" x14ac:dyDescent="0.3">
      <c r="A26" s="105"/>
      <c r="B26" s="21" t="s">
        <v>75</v>
      </c>
      <c r="C26" s="22">
        <v>2018</v>
      </c>
      <c r="D26" s="22">
        <v>10</v>
      </c>
      <c r="E26" s="22" t="s">
        <v>4</v>
      </c>
      <c r="F26" s="22">
        <v>375</v>
      </c>
      <c r="G26" s="22">
        <v>343939.5</v>
      </c>
    </row>
    <row r="27" spans="1:8" ht="19.5" customHeight="1" x14ac:dyDescent="0.3">
      <c r="A27" s="105"/>
      <c r="B27" s="21" t="s">
        <v>77</v>
      </c>
      <c r="C27" s="22">
        <v>2018</v>
      </c>
      <c r="D27" s="22">
        <v>6</v>
      </c>
      <c r="E27" s="22" t="s">
        <v>4</v>
      </c>
      <c r="F27" s="22">
        <v>1800</v>
      </c>
      <c r="G27" s="22">
        <v>1354053.73</v>
      </c>
      <c r="H27" s="11"/>
    </row>
    <row r="28" spans="1:8" ht="19.5" customHeight="1" x14ac:dyDescent="0.3">
      <c r="A28" s="105"/>
      <c r="B28" s="21" t="s">
        <v>76</v>
      </c>
      <c r="C28" s="22">
        <v>2019</v>
      </c>
      <c r="D28" s="22">
        <v>6</v>
      </c>
      <c r="E28" s="22" t="s">
        <v>4</v>
      </c>
      <c r="F28" s="22">
        <v>115</v>
      </c>
      <c r="G28" s="22">
        <v>523362.03</v>
      </c>
    </row>
    <row r="29" spans="1:8" ht="19.5" customHeight="1" x14ac:dyDescent="0.3">
      <c r="A29" s="105"/>
      <c r="B29" s="21" t="s">
        <v>76</v>
      </c>
      <c r="C29" s="22">
        <v>2019</v>
      </c>
      <c r="D29" s="22">
        <v>6</v>
      </c>
      <c r="E29" s="22" t="s">
        <v>4</v>
      </c>
      <c r="F29" s="22">
        <v>100</v>
      </c>
      <c r="G29" s="22">
        <v>400872.3</v>
      </c>
    </row>
    <row r="30" spans="1:8" ht="19.5" customHeight="1" x14ac:dyDescent="0.3">
      <c r="A30" s="105"/>
      <c r="B30" s="21" t="s">
        <v>74</v>
      </c>
      <c r="C30" s="22">
        <v>2020</v>
      </c>
      <c r="D30" s="22">
        <v>10</v>
      </c>
      <c r="E30" s="22" t="s">
        <v>4</v>
      </c>
      <c r="F30" s="22">
        <v>15</v>
      </c>
      <c r="G30" s="22">
        <v>238449.03</v>
      </c>
    </row>
    <row r="31" spans="1:8" ht="19.5" customHeight="1" x14ac:dyDescent="0.3">
      <c r="A31" s="105"/>
      <c r="B31" s="21" t="s">
        <v>76</v>
      </c>
      <c r="C31" s="22">
        <v>2020</v>
      </c>
      <c r="D31" s="22">
        <v>6</v>
      </c>
      <c r="E31" s="22" t="s">
        <v>4</v>
      </c>
      <c r="F31" s="22">
        <v>125</v>
      </c>
      <c r="G31" s="22">
        <v>382144.85</v>
      </c>
    </row>
  </sheetData>
  <mergeCells count="2">
    <mergeCell ref="E2:G2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68"/>
  <sheetViews>
    <sheetView zoomScale="75" zoomScaleNormal="75" workbookViewId="0">
      <selection activeCell="H7" sqref="H7"/>
    </sheetView>
  </sheetViews>
  <sheetFormatPr defaultColWidth="9.1796875" defaultRowHeight="14" x14ac:dyDescent="0.35"/>
  <cols>
    <col min="1" max="1" width="6.7265625" style="25" customWidth="1"/>
    <col min="2" max="2" width="46.7265625" style="25" customWidth="1"/>
    <col min="3" max="3" width="12.36328125" style="25" customWidth="1"/>
    <col min="4" max="4" width="13.36328125" style="25" customWidth="1"/>
    <col min="5" max="5" width="12.36328125" style="25" customWidth="1"/>
    <col min="6" max="6" width="13.54296875" style="25" customWidth="1"/>
    <col min="7" max="7" width="10.26953125" style="25" bestFit="1" customWidth="1"/>
    <col min="8" max="8" width="11.1796875" style="25" customWidth="1"/>
    <col min="9" max="9" width="13.453125" style="25" customWidth="1"/>
    <col min="10" max="16384" width="9.1796875" style="25"/>
  </cols>
  <sheetData>
    <row r="1" spans="1:10" x14ac:dyDescent="0.35">
      <c r="E1" s="109"/>
      <c r="F1" s="109" t="s">
        <v>78</v>
      </c>
    </row>
    <row r="2" spans="1:10" ht="50.5" customHeight="1" x14ac:dyDescent="0.35">
      <c r="D2" s="149" t="s">
        <v>58</v>
      </c>
      <c r="E2" s="149"/>
      <c r="F2" s="149"/>
    </row>
    <row r="3" spans="1:10" x14ac:dyDescent="0.35">
      <c r="A3" s="110"/>
      <c r="B3" s="110"/>
    </row>
    <row r="4" spans="1:10" ht="37" customHeight="1" x14ac:dyDescent="0.35">
      <c r="A4" s="150" t="s">
        <v>143</v>
      </c>
      <c r="B4" s="150"/>
      <c r="C4" s="150"/>
      <c r="D4" s="150"/>
      <c r="E4" s="150"/>
      <c r="F4" s="150"/>
    </row>
    <row r="5" spans="1:10" ht="15.5" customHeight="1" x14ac:dyDescent="0.35">
      <c r="A5" s="151" t="s">
        <v>93</v>
      </c>
      <c r="B5" s="151"/>
      <c r="C5" s="151"/>
      <c r="D5" s="151"/>
      <c r="E5" s="151"/>
      <c r="F5" s="151"/>
    </row>
    <row r="6" spans="1:10" ht="15" customHeight="1" x14ac:dyDescent="0.35">
      <c r="A6" s="152" t="s">
        <v>92</v>
      </c>
      <c r="B6" s="152"/>
      <c r="C6" s="152"/>
      <c r="D6" s="152"/>
      <c r="E6" s="152"/>
      <c r="F6" s="152"/>
    </row>
    <row r="7" spans="1:10" x14ac:dyDescent="0.35">
      <c r="A7" s="27"/>
      <c r="B7" s="27"/>
      <c r="C7" s="27"/>
      <c r="D7" s="27"/>
      <c r="E7" s="111"/>
      <c r="F7" s="111"/>
    </row>
    <row r="8" spans="1:10" ht="23.5" customHeight="1" x14ac:dyDescent="0.35">
      <c r="A8" s="153" t="s">
        <v>80</v>
      </c>
      <c r="B8" s="153" t="s">
        <v>7</v>
      </c>
      <c r="C8" s="153" t="s">
        <v>81</v>
      </c>
      <c r="D8" s="153"/>
      <c r="E8" s="153"/>
      <c r="F8" s="154" t="s">
        <v>82</v>
      </c>
    </row>
    <row r="9" spans="1:10" ht="46" x14ac:dyDescent="0.35">
      <c r="A9" s="153"/>
      <c r="B9" s="153"/>
      <c r="C9" s="112" t="s">
        <v>83</v>
      </c>
      <c r="D9" s="112" t="s">
        <v>84</v>
      </c>
      <c r="E9" s="112" t="s">
        <v>85</v>
      </c>
      <c r="F9" s="154"/>
    </row>
    <row r="10" spans="1:10" x14ac:dyDescent="0.35">
      <c r="A10" s="113">
        <v>1</v>
      </c>
      <c r="B10" s="113">
        <v>2</v>
      </c>
      <c r="C10" s="113">
        <v>3</v>
      </c>
      <c r="D10" s="113">
        <v>4</v>
      </c>
      <c r="E10" s="113">
        <v>5</v>
      </c>
      <c r="F10" s="113">
        <v>6</v>
      </c>
      <c r="G10" s="28"/>
    </row>
    <row r="11" spans="1:10" ht="26" x14ac:dyDescent="0.35">
      <c r="A11" s="114" t="s">
        <v>86</v>
      </c>
      <c r="B11" s="115" t="s">
        <v>87</v>
      </c>
      <c r="C11" s="29">
        <f>SUM(C12:C15)</f>
        <v>3447300</v>
      </c>
      <c r="D11" s="29">
        <f>SUM(D12:D15)</f>
        <v>516</v>
      </c>
      <c r="E11" s="78">
        <f>SUM(E12:E15)</f>
        <v>11583.3</v>
      </c>
      <c r="F11" s="29">
        <f>C11/D11</f>
        <v>6681</v>
      </c>
      <c r="G11" s="30"/>
      <c r="H11" s="27"/>
      <c r="I11" s="27"/>
      <c r="J11" s="27"/>
    </row>
    <row r="12" spans="1:10" x14ac:dyDescent="0.35">
      <c r="A12" s="116"/>
      <c r="B12" s="117" t="s">
        <v>88</v>
      </c>
      <c r="C12" s="26">
        <f>572500+1989800</f>
        <v>2562300</v>
      </c>
      <c r="D12" s="26">
        <f>66+373</f>
        <v>439</v>
      </c>
      <c r="E12" s="79">
        <f>766+4471.8</f>
        <v>5237.8</v>
      </c>
      <c r="F12" s="26">
        <f t="shared" ref="F12:F14" si="0">C12/D12</f>
        <v>5837</v>
      </c>
      <c r="G12" s="30"/>
      <c r="H12" s="27"/>
      <c r="I12" s="31"/>
      <c r="J12" s="27"/>
    </row>
    <row r="13" spans="1:10" x14ac:dyDescent="0.35">
      <c r="A13" s="116"/>
      <c r="B13" s="117" t="s">
        <v>89</v>
      </c>
      <c r="C13" s="26">
        <v>798400</v>
      </c>
      <c r="D13" s="26">
        <v>69</v>
      </c>
      <c r="E13" s="79">
        <v>4306.8</v>
      </c>
      <c r="F13" s="26">
        <f t="shared" si="0"/>
        <v>11571</v>
      </c>
      <c r="G13" s="30"/>
      <c r="H13" s="27"/>
      <c r="J13" s="27"/>
    </row>
    <row r="14" spans="1:10" x14ac:dyDescent="0.35">
      <c r="A14" s="116"/>
      <c r="B14" s="117" t="s">
        <v>94</v>
      </c>
      <c r="C14" s="26">
        <v>86600</v>
      </c>
      <c r="D14" s="26">
        <v>8</v>
      </c>
      <c r="E14" s="79">
        <v>2038.7</v>
      </c>
      <c r="F14" s="26">
        <f t="shared" si="0"/>
        <v>10825</v>
      </c>
      <c r="G14" s="30"/>
      <c r="H14" s="27"/>
      <c r="J14" s="27"/>
    </row>
    <row r="15" spans="1:10" x14ac:dyDescent="0.35">
      <c r="A15" s="116"/>
      <c r="B15" s="117" t="s">
        <v>95</v>
      </c>
      <c r="C15" s="26">
        <v>0</v>
      </c>
      <c r="D15" s="26">
        <v>0</v>
      </c>
      <c r="E15" s="79">
        <v>0</v>
      </c>
      <c r="F15" s="26"/>
      <c r="G15" s="30"/>
      <c r="H15" s="27"/>
      <c r="J15" s="27"/>
    </row>
    <row r="16" spans="1:10" ht="26" x14ac:dyDescent="0.35">
      <c r="A16" s="116" t="s">
        <v>90</v>
      </c>
      <c r="B16" s="118" t="s">
        <v>91</v>
      </c>
      <c r="C16" s="26">
        <f>SUM(C17:C20)</f>
        <v>4650400</v>
      </c>
      <c r="D16" s="29">
        <f>SUM(D17:D20)</f>
        <v>516</v>
      </c>
      <c r="E16" s="78">
        <f>SUM(E17:E20)</f>
        <v>11583.3</v>
      </c>
      <c r="F16" s="26">
        <f>C16/D16</f>
        <v>9012</v>
      </c>
      <c r="G16" s="30"/>
      <c r="H16" s="32"/>
      <c r="I16" s="27"/>
      <c r="J16" s="27"/>
    </row>
    <row r="17" spans="1:10" x14ac:dyDescent="0.35">
      <c r="A17" s="116"/>
      <c r="B17" s="117" t="s">
        <v>174</v>
      </c>
      <c r="C17" s="26">
        <f>538100+3214500</f>
        <v>3752600</v>
      </c>
      <c r="D17" s="26">
        <f t="shared" ref="D17:E19" si="1">D12</f>
        <v>439</v>
      </c>
      <c r="E17" s="79">
        <f t="shared" si="1"/>
        <v>5237.8</v>
      </c>
      <c r="F17" s="26">
        <f t="shared" ref="F17:F19" si="2">C17/D17</f>
        <v>8548</v>
      </c>
      <c r="G17" s="30"/>
      <c r="H17" s="32"/>
      <c r="I17" s="33"/>
      <c r="J17" s="27"/>
    </row>
    <row r="18" spans="1:10" x14ac:dyDescent="0.35">
      <c r="A18" s="119"/>
      <c r="B18" s="120" t="s">
        <v>175</v>
      </c>
      <c r="C18" s="121">
        <v>750400</v>
      </c>
      <c r="D18" s="121">
        <f t="shared" si="1"/>
        <v>69</v>
      </c>
      <c r="E18" s="122">
        <f t="shared" si="1"/>
        <v>4306.8</v>
      </c>
      <c r="F18" s="121">
        <f t="shared" si="2"/>
        <v>10875</v>
      </c>
      <c r="G18" s="30"/>
      <c r="H18" s="32"/>
      <c r="I18" s="33"/>
      <c r="J18" s="27"/>
    </row>
    <row r="19" spans="1:10" x14ac:dyDescent="0.35">
      <c r="A19" s="123"/>
      <c r="B19" s="117" t="s">
        <v>94</v>
      </c>
      <c r="C19" s="26">
        <v>147400</v>
      </c>
      <c r="D19" s="26">
        <f t="shared" si="1"/>
        <v>8</v>
      </c>
      <c r="E19" s="79">
        <f t="shared" si="1"/>
        <v>2038.7</v>
      </c>
      <c r="F19" s="26">
        <f t="shared" si="2"/>
        <v>18425</v>
      </c>
      <c r="G19" s="30"/>
      <c r="H19" s="32"/>
      <c r="I19" s="33"/>
      <c r="J19" s="27"/>
    </row>
    <row r="20" spans="1:10" x14ac:dyDescent="0.35">
      <c r="A20" s="123"/>
      <c r="B20" s="117" t="s">
        <v>95</v>
      </c>
      <c r="C20" s="26">
        <v>0</v>
      </c>
      <c r="D20" s="26">
        <f>-D15</f>
        <v>0</v>
      </c>
      <c r="E20" s="79">
        <f>-E15</f>
        <v>0</v>
      </c>
      <c r="F20" s="26"/>
      <c r="G20" s="30"/>
      <c r="H20" s="32"/>
      <c r="I20" s="33"/>
      <c r="J20" s="27"/>
    </row>
    <row r="21" spans="1:10" ht="15" customHeight="1" x14ac:dyDescent="0.35">
      <c r="A21" s="34"/>
      <c r="B21" s="34"/>
      <c r="C21" s="34"/>
      <c r="D21" s="34"/>
      <c r="E21" s="35"/>
      <c r="F21" s="36"/>
    </row>
    <row r="22" spans="1:10" ht="15" x14ac:dyDescent="0.35">
      <c r="A22" s="152" t="s">
        <v>144</v>
      </c>
      <c r="B22" s="152"/>
      <c r="C22" s="152"/>
      <c r="D22" s="152"/>
      <c r="E22" s="152"/>
      <c r="F22" s="152"/>
    </row>
    <row r="23" spans="1:10" ht="32" customHeight="1" x14ac:dyDescent="0.35">
      <c r="A23" s="27"/>
      <c r="B23" s="27"/>
      <c r="C23" s="27"/>
      <c r="D23" s="27"/>
      <c r="E23" s="111"/>
      <c r="F23" s="111"/>
    </row>
    <row r="24" spans="1:10" x14ac:dyDescent="0.35">
      <c r="A24" s="153" t="s">
        <v>80</v>
      </c>
      <c r="B24" s="153" t="s">
        <v>7</v>
      </c>
      <c r="C24" s="153" t="s">
        <v>81</v>
      </c>
      <c r="D24" s="153"/>
      <c r="E24" s="153"/>
      <c r="F24" s="154" t="s">
        <v>82</v>
      </c>
    </row>
    <row r="25" spans="1:10" ht="46" x14ac:dyDescent="0.35">
      <c r="A25" s="153"/>
      <c r="B25" s="153"/>
      <c r="C25" s="112" t="s">
        <v>83</v>
      </c>
      <c r="D25" s="112" t="s">
        <v>84</v>
      </c>
      <c r="E25" s="112" t="s">
        <v>85</v>
      </c>
      <c r="F25" s="154"/>
      <c r="G25" s="28"/>
    </row>
    <row r="26" spans="1:10" x14ac:dyDescent="0.35">
      <c r="A26" s="113">
        <v>1</v>
      </c>
      <c r="B26" s="113">
        <v>2</v>
      </c>
      <c r="C26" s="113">
        <v>3</v>
      </c>
      <c r="D26" s="113">
        <v>4</v>
      </c>
      <c r="E26" s="113">
        <v>5</v>
      </c>
      <c r="F26" s="113">
        <v>6</v>
      </c>
      <c r="G26" s="30"/>
      <c r="H26" s="27"/>
    </row>
    <row r="27" spans="1:10" ht="26" x14ac:dyDescent="0.35">
      <c r="A27" s="114" t="s">
        <v>86</v>
      </c>
      <c r="B27" s="115" t="s">
        <v>87</v>
      </c>
      <c r="C27" s="29">
        <f>SUM(C28:C31)</f>
        <v>4783400</v>
      </c>
      <c r="D27" s="29">
        <f>SUM(D28:D31)</f>
        <v>605</v>
      </c>
      <c r="E27" s="78">
        <f>SUM(E28:E31)</f>
        <v>15649.2</v>
      </c>
      <c r="F27" s="29">
        <f>C27/D27</f>
        <v>7906</v>
      </c>
      <c r="G27" s="30"/>
      <c r="H27" s="27"/>
    </row>
    <row r="28" spans="1:10" x14ac:dyDescent="0.35">
      <c r="A28" s="116"/>
      <c r="B28" s="117" t="s">
        <v>88</v>
      </c>
      <c r="C28" s="26">
        <f>481600+1500+2946500+300</f>
        <v>3429900</v>
      </c>
      <c r="D28" s="26">
        <f>51+465</f>
        <v>516</v>
      </c>
      <c r="E28" s="79">
        <f>562.1+5147.3</f>
        <v>5709.4</v>
      </c>
      <c r="F28" s="26">
        <f t="shared" ref="F28:F30" si="3">C28/D28</f>
        <v>6647</v>
      </c>
      <c r="G28" s="30"/>
      <c r="H28" s="27"/>
    </row>
    <row r="29" spans="1:10" x14ac:dyDescent="0.35">
      <c r="A29" s="116"/>
      <c r="B29" s="117" t="s">
        <v>89</v>
      </c>
      <c r="C29" s="26">
        <f>1166900+3200</f>
        <v>1170100</v>
      </c>
      <c r="D29" s="26">
        <v>79</v>
      </c>
      <c r="E29" s="79">
        <v>4491.45</v>
      </c>
      <c r="F29" s="26">
        <f t="shared" si="3"/>
        <v>14811</v>
      </c>
      <c r="G29" s="30"/>
      <c r="H29" s="27"/>
    </row>
    <row r="30" spans="1:10" x14ac:dyDescent="0.35">
      <c r="A30" s="116"/>
      <c r="B30" s="117" t="s">
        <v>94</v>
      </c>
      <c r="C30" s="26">
        <f>119800+300</f>
        <v>120100</v>
      </c>
      <c r="D30" s="26">
        <v>7</v>
      </c>
      <c r="E30" s="79">
        <v>1783.3</v>
      </c>
      <c r="F30" s="26">
        <f t="shared" si="3"/>
        <v>17157</v>
      </c>
      <c r="G30" s="30"/>
      <c r="H30" s="27"/>
    </row>
    <row r="31" spans="1:10" x14ac:dyDescent="0.35">
      <c r="A31" s="116"/>
      <c r="B31" s="117" t="s">
        <v>95</v>
      </c>
      <c r="C31" s="26">
        <f>63000+300</f>
        <v>63300</v>
      </c>
      <c r="D31" s="26">
        <v>3</v>
      </c>
      <c r="E31" s="79">
        <v>3665</v>
      </c>
      <c r="F31" s="26">
        <f>C31/D31</f>
        <v>21100</v>
      </c>
      <c r="G31" s="30"/>
      <c r="H31" s="32"/>
    </row>
    <row r="32" spans="1:10" ht="26" x14ac:dyDescent="0.35">
      <c r="A32" s="116" t="s">
        <v>90</v>
      </c>
      <c r="B32" s="118" t="s">
        <v>91</v>
      </c>
      <c r="C32" s="29">
        <f>SUM(C33:C36)</f>
        <v>6623200</v>
      </c>
      <c r="D32" s="29">
        <f>SUM(D33:D36)</f>
        <v>605</v>
      </c>
      <c r="E32" s="78">
        <f>SUM(E33:E36)</f>
        <v>15649.2</v>
      </c>
      <c r="F32" s="29">
        <f>C32/D32</f>
        <v>10947</v>
      </c>
      <c r="G32" s="30"/>
      <c r="H32" s="32"/>
      <c r="I32" s="33"/>
    </row>
    <row r="33" spans="1:9" x14ac:dyDescent="0.35">
      <c r="A33" s="116"/>
      <c r="B33" s="117" t="s">
        <v>88</v>
      </c>
      <c r="C33" s="26">
        <f>452700+1500+4760400+400</f>
        <v>5215000</v>
      </c>
      <c r="D33" s="26">
        <f t="shared" ref="D33:E36" si="4">D28</f>
        <v>516</v>
      </c>
      <c r="E33" s="79">
        <f t="shared" si="4"/>
        <v>5709.4</v>
      </c>
      <c r="F33" s="26">
        <f t="shared" ref="F33:F34" si="5">C33/D33</f>
        <v>10107</v>
      </c>
      <c r="G33" s="30"/>
      <c r="H33" s="32"/>
      <c r="I33" s="33"/>
    </row>
    <row r="34" spans="1:9" x14ac:dyDescent="0.35">
      <c r="A34" s="119"/>
      <c r="B34" s="120" t="s">
        <v>89</v>
      </c>
      <c r="C34" s="121">
        <f>1096600+3000</f>
        <v>1099600</v>
      </c>
      <c r="D34" s="121">
        <f t="shared" si="4"/>
        <v>79</v>
      </c>
      <c r="E34" s="122">
        <f t="shared" si="4"/>
        <v>4491.5</v>
      </c>
      <c r="F34" s="121">
        <f t="shared" si="5"/>
        <v>13919</v>
      </c>
      <c r="G34" s="30"/>
      <c r="H34" s="32"/>
      <c r="I34" s="33"/>
    </row>
    <row r="35" spans="1:9" x14ac:dyDescent="0.35">
      <c r="A35" s="123"/>
      <c r="B35" s="117" t="s">
        <v>94</v>
      </c>
      <c r="C35" s="26">
        <f>203800+500</f>
        <v>204300</v>
      </c>
      <c r="D35" s="26">
        <f t="shared" si="4"/>
        <v>7</v>
      </c>
      <c r="E35" s="79">
        <f>E30</f>
        <v>1783.3</v>
      </c>
      <c r="F35" s="26">
        <f>C35/D35</f>
        <v>29186</v>
      </c>
      <c r="G35" s="30"/>
      <c r="H35" s="32"/>
      <c r="I35" s="33"/>
    </row>
    <row r="36" spans="1:9" x14ac:dyDescent="0.35">
      <c r="A36" s="123"/>
      <c r="B36" s="117" t="s">
        <v>95</v>
      </c>
      <c r="C36" s="26">
        <f>103900+400</f>
        <v>104300</v>
      </c>
      <c r="D36" s="26">
        <f t="shared" si="4"/>
        <v>3</v>
      </c>
      <c r="E36" s="79">
        <f t="shared" si="4"/>
        <v>3665</v>
      </c>
      <c r="F36" s="26">
        <f>C36/D36</f>
        <v>34767</v>
      </c>
    </row>
    <row r="38" spans="1:9" ht="27.5" customHeight="1" x14ac:dyDescent="0.35">
      <c r="A38" s="152" t="s">
        <v>159</v>
      </c>
      <c r="B38" s="152"/>
      <c r="C38" s="152"/>
      <c r="D38" s="152"/>
      <c r="E38" s="152"/>
      <c r="F38" s="152"/>
    </row>
    <row r="39" spans="1:9" x14ac:dyDescent="0.35">
      <c r="A39" s="27"/>
      <c r="B39" s="27"/>
      <c r="C39" s="27"/>
      <c r="D39" s="27"/>
      <c r="E39" s="111"/>
      <c r="F39" s="111"/>
    </row>
    <row r="40" spans="1:9" x14ac:dyDescent="0.35">
      <c r="A40" s="153" t="s">
        <v>80</v>
      </c>
      <c r="B40" s="153" t="s">
        <v>7</v>
      </c>
      <c r="C40" s="153" t="s">
        <v>81</v>
      </c>
      <c r="D40" s="153"/>
      <c r="E40" s="153"/>
      <c r="F40" s="154" t="s">
        <v>82</v>
      </c>
      <c r="G40" s="28"/>
    </row>
    <row r="41" spans="1:9" ht="46" x14ac:dyDescent="0.35">
      <c r="A41" s="153"/>
      <c r="B41" s="153"/>
      <c r="C41" s="112" t="s">
        <v>83</v>
      </c>
      <c r="D41" s="112" t="s">
        <v>84</v>
      </c>
      <c r="E41" s="112" t="s">
        <v>85</v>
      </c>
      <c r="F41" s="154"/>
      <c r="G41" s="30"/>
      <c r="H41" s="27"/>
    </row>
    <row r="42" spans="1:9" x14ac:dyDescent="0.35">
      <c r="A42" s="113">
        <v>1</v>
      </c>
      <c r="B42" s="113">
        <v>2</v>
      </c>
      <c r="C42" s="113">
        <v>3</v>
      </c>
      <c r="D42" s="113">
        <v>4</v>
      </c>
      <c r="E42" s="113">
        <v>5</v>
      </c>
      <c r="F42" s="113">
        <v>6</v>
      </c>
      <c r="G42" s="30"/>
      <c r="H42" s="27"/>
    </row>
    <row r="43" spans="1:9" ht="26" x14ac:dyDescent="0.35">
      <c r="A43" s="114" t="s">
        <v>86</v>
      </c>
      <c r="B43" s="115" t="s">
        <v>87</v>
      </c>
      <c r="C43" s="29">
        <f>SUM(C44:C47)</f>
        <v>6214400</v>
      </c>
      <c r="D43" s="29">
        <f>SUM(D44:D47)</f>
        <v>411</v>
      </c>
      <c r="E43" s="78">
        <f>SUM(E44:E47)</f>
        <v>10628</v>
      </c>
      <c r="F43" s="29">
        <f>C43/D43</f>
        <v>15120</v>
      </c>
      <c r="G43" s="30"/>
      <c r="H43" s="27"/>
    </row>
    <row r="44" spans="1:9" x14ac:dyDescent="0.35">
      <c r="A44" s="116"/>
      <c r="B44" s="117" t="s">
        <v>88</v>
      </c>
      <c r="C44" s="26">
        <f>454100+8000+3304200+1600</f>
        <v>3767900</v>
      </c>
      <c r="D44" s="26">
        <f>36+294</f>
        <v>330</v>
      </c>
      <c r="E44" s="79">
        <f>505+3306.6</f>
        <v>3811.6</v>
      </c>
      <c r="F44" s="26">
        <f t="shared" ref="F44:F46" si="6">C44/D44</f>
        <v>11418</v>
      </c>
      <c r="G44" s="30"/>
      <c r="H44" s="27"/>
    </row>
    <row r="45" spans="1:9" x14ac:dyDescent="0.35">
      <c r="A45" s="116"/>
      <c r="B45" s="117" t="s">
        <v>89</v>
      </c>
      <c r="C45" s="26">
        <f>1153000+21100</f>
        <v>1174100</v>
      </c>
      <c r="D45" s="26">
        <v>74</v>
      </c>
      <c r="E45" s="79">
        <v>4467.5</v>
      </c>
      <c r="F45" s="26">
        <f t="shared" si="6"/>
        <v>15866</v>
      </c>
      <c r="G45" s="30"/>
      <c r="H45" s="27"/>
    </row>
    <row r="46" spans="1:9" x14ac:dyDescent="0.35">
      <c r="A46" s="116"/>
      <c r="B46" s="117" t="s">
        <v>94</v>
      </c>
      <c r="C46" s="26">
        <f>1145500+126900</f>
        <v>1272400</v>
      </c>
      <c r="D46" s="26">
        <v>7</v>
      </c>
      <c r="E46" s="79">
        <v>2348.9</v>
      </c>
      <c r="F46" s="26">
        <f t="shared" si="6"/>
        <v>181771</v>
      </c>
      <c r="G46" s="30"/>
      <c r="H46" s="32"/>
    </row>
    <row r="47" spans="1:9" x14ac:dyDescent="0.35">
      <c r="A47" s="116"/>
      <c r="B47" s="117" t="s">
        <v>95</v>
      </c>
      <c r="C47" s="26"/>
      <c r="D47" s="26"/>
      <c r="E47" s="79"/>
      <c r="F47" s="26"/>
      <c r="G47" s="30"/>
      <c r="H47" s="32"/>
      <c r="I47" s="33"/>
    </row>
    <row r="48" spans="1:9" ht="26" x14ac:dyDescent="0.35">
      <c r="A48" s="116" t="s">
        <v>90</v>
      </c>
      <c r="B48" s="118" t="s">
        <v>91</v>
      </c>
      <c r="C48" s="26"/>
      <c r="D48" s="29"/>
      <c r="E48" s="78"/>
      <c r="F48" s="26"/>
      <c r="G48" s="30"/>
      <c r="H48" s="32"/>
      <c r="I48" s="33"/>
    </row>
    <row r="49" spans="1:13" ht="65" x14ac:dyDescent="0.35">
      <c r="A49" s="116" t="s">
        <v>160</v>
      </c>
      <c r="B49" s="118" t="s">
        <v>161</v>
      </c>
      <c r="C49" s="26">
        <f>SUM(C50:C53)</f>
        <v>2505500</v>
      </c>
      <c r="D49" s="29">
        <f>SUM(D50:D53)</f>
        <v>404</v>
      </c>
      <c r="E49" s="78">
        <f>SUM(E50:E53)</f>
        <v>8279.1</v>
      </c>
      <c r="F49" s="26">
        <f>C49/D49</f>
        <v>6202</v>
      </c>
      <c r="G49" s="30"/>
      <c r="H49" s="32"/>
      <c r="I49" s="33"/>
    </row>
    <row r="50" spans="1:13" x14ac:dyDescent="0.35">
      <c r="A50" s="116"/>
      <c r="B50" s="117" t="s">
        <v>88</v>
      </c>
      <c r="C50" s="26">
        <f>230200+4100+1675100+800</f>
        <v>1910200</v>
      </c>
      <c r="D50" s="26">
        <f>D44</f>
        <v>330</v>
      </c>
      <c r="E50" s="79">
        <f>E44</f>
        <v>3811.6</v>
      </c>
      <c r="F50" s="26">
        <f>C50/D50</f>
        <v>5788</v>
      </c>
      <c r="G50" s="30"/>
      <c r="H50" s="32"/>
      <c r="I50" s="33"/>
    </row>
    <row r="51" spans="1:13" x14ac:dyDescent="0.35">
      <c r="A51" s="116"/>
      <c r="B51" s="117" t="s">
        <v>89</v>
      </c>
      <c r="C51" s="26">
        <f>584600+10700</f>
        <v>595300</v>
      </c>
      <c r="D51" s="26">
        <f>D45</f>
        <v>74</v>
      </c>
      <c r="E51" s="79">
        <f t="shared" ref="E51" si="7">E45</f>
        <v>4467.5</v>
      </c>
      <c r="F51" s="26">
        <f t="shared" ref="F51" si="8">C51/D51</f>
        <v>8045</v>
      </c>
    </row>
    <row r="52" spans="1:13" x14ac:dyDescent="0.35">
      <c r="A52" s="123"/>
      <c r="B52" s="117" t="s">
        <v>94</v>
      </c>
      <c r="C52" s="26"/>
      <c r="D52" s="26"/>
      <c r="E52" s="79"/>
      <c r="F52" s="26"/>
      <c r="G52" s="37"/>
      <c r="H52" s="37"/>
      <c r="I52" s="37"/>
      <c r="J52" s="37"/>
      <c r="K52" s="37"/>
      <c r="L52" s="37"/>
      <c r="M52" s="37"/>
    </row>
    <row r="53" spans="1:13" x14ac:dyDescent="0.35">
      <c r="A53" s="123"/>
      <c r="B53" s="117" t="s">
        <v>95</v>
      </c>
      <c r="C53" s="26"/>
      <c r="D53" s="26"/>
      <c r="E53" s="79"/>
      <c r="F53" s="26"/>
      <c r="G53" s="37"/>
      <c r="H53" s="37"/>
      <c r="I53" s="37"/>
      <c r="J53" s="37"/>
      <c r="K53" s="37"/>
      <c r="L53" s="37"/>
      <c r="M53" s="37"/>
    </row>
    <row r="54" spans="1:13" ht="65" x14ac:dyDescent="0.35">
      <c r="A54" s="116" t="s">
        <v>162</v>
      </c>
      <c r="B54" s="118" t="s">
        <v>163</v>
      </c>
      <c r="C54" s="29">
        <f>SUM(C55:C58)</f>
        <v>482600</v>
      </c>
      <c r="D54" s="29">
        <f>SUM(D55:D58)</f>
        <v>7</v>
      </c>
      <c r="E54" s="78">
        <f>SUM(E55:E58)</f>
        <v>2348.9</v>
      </c>
      <c r="F54" s="29">
        <f>C54/D54</f>
        <v>68943</v>
      </c>
      <c r="G54" s="37"/>
      <c r="H54" s="37"/>
      <c r="I54" s="37"/>
      <c r="J54" s="37"/>
      <c r="K54" s="37"/>
      <c r="L54" s="37"/>
      <c r="M54" s="37"/>
    </row>
    <row r="55" spans="1:13" x14ac:dyDescent="0.35">
      <c r="A55" s="116"/>
      <c r="B55" s="117" t="s">
        <v>88</v>
      </c>
      <c r="C55" s="26"/>
      <c r="D55" s="26"/>
      <c r="E55" s="79"/>
      <c r="F55" s="26"/>
      <c r="G55" s="37"/>
      <c r="H55" s="37"/>
      <c r="I55" s="37"/>
      <c r="J55" s="37"/>
      <c r="K55" s="37"/>
      <c r="L55" s="37"/>
      <c r="M55" s="37"/>
    </row>
    <row r="56" spans="1:13" x14ac:dyDescent="0.35">
      <c r="A56" s="116"/>
      <c r="B56" s="117" t="s">
        <v>89</v>
      </c>
      <c r="C56" s="26"/>
      <c r="D56" s="26"/>
      <c r="E56" s="79"/>
      <c r="F56" s="26"/>
      <c r="G56" s="41"/>
      <c r="H56" s="155"/>
      <c r="I56" s="155"/>
      <c r="J56" s="37"/>
      <c r="K56" s="37"/>
      <c r="L56" s="37"/>
      <c r="M56" s="37"/>
    </row>
    <row r="57" spans="1:13" x14ac:dyDescent="0.35">
      <c r="A57" s="123"/>
      <c r="B57" s="117" t="s">
        <v>94</v>
      </c>
      <c r="C57" s="26">
        <f>434500+48100</f>
        <v>482600</v>
      </c>
      <c r="D57" s="26">
        <f>D46</f>
        <v>7</v>
      </c>
      <c r="E57" s="79">
        <f>E46</f>
        <v>2348.9</v>
      </c>
      <c r="F57" s="26">
        <f>C57/D57</f>
        <v>68943</v>
      </c>
      <c r="G57" s="13"/>
      <c r="H57" s="45"/>
      <c r="I57" s="46"/>
      <c r="J57" s="37"/>
      <c r="K57" s="37"/>
      <c r="L57" s="46"/>
      <c r="M57" s="37"/>
    </row>
    <row r="58" spans="1:13" x14ac:dyDescent="0.35">
      <c r="A58" s="123"/>
      <c r="B58" s="117" t="s">
        <v>95</v>
      </c>
      <c r="C58" s="26"/>
      <c r="D58" s="26">
        <f>D47</f>
        <v>0</v>
      </c>
      <c r="E58" s="79">
        <f>E47</f>
        <v>0</v>
      </c>
      <c r="F58" s="26" t="e">
        <f t="shared" ref="F58" si="9">C58/D58</f>
        <v>#DIV/0!</v>
      </c>
      <c r="G58" s="13"/>
      <c r="H58" s="45"/>
      <c r="I58" s="46"/>
      <c r="J58" s="37"/>
      <c r="K58" s="37"/>
      <c r="L58" s="46"/>
      <c r="M58" s="37"/>
    </row>
    <row r="59" spans="1:13" x14ac:dyDescent="0.35">
      <c r="A59" s="37"/>
      <c r="B59" s="42"/>
      <c r="C59" s="37"/>
      <c r="D59" s="43"/>
      <c r="E59" s="44"/>
      <c r="F59" s="37"/>
      <c r="G59" s="13"/>
      <c r="H59" s="45"/>
      <c r="I59" s="46"/>
      <c r="J59" s="37"/>
      <c r="K59" s="37"/>
      <c r="L59" s="46"/>
      <c r="M59" s="37"/>
    </row>
    <row r="60" spans="1:13" x14ac:dyDescent="0.35">
      <c r="A60" s="37"/>
      <c r="B60" s="42"/>
      <c r="C60" s="37"/>
      <c r="D60" s="43"/>
      <c r="E60" s="44"/>
      <c r="F60" s="37"/>
      <c r="G60" s="13"/>
      <c r="H60" s="45"/>
      <c r="I60" s="46"/>
      <c r="J60" s="37"/>
      <c r="K60" s="37"/>
      <c r="L60" s="46"/>
      <c r="M60" s="37"/>
    </row>
    <row r="61" spans="1:13" x14ac:dyDescent="0.3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x14ac:dyDescent="0.3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x14ac:dyDescent="0.3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x14ac:dyDescent="0.3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x14ac:dyDescent="0.3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x14ac:dyDescent="0.3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x14ac:dyDescent="0.3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x14ac:dyDescent="0.3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</sheetData>
  <mergeCells count="19">
    <mergeCell ref="H56:I56"/>
    <mergeCell ref="A22:F22"/>
    <mergeCell ref="A24:A25"/>
    <mergeCell ref="B24:B25"/>
    <mergeCell ref="C24:E24"/>
    <mergeCell ref="F24:F25"/>
    <mergeCell ref="A38:F38"/>
    <mergeCell ref="A40:A41"/>
    <mergeCell ref="B40:B41"/>
    <mergeCell ref="C40:E40"/>
    <mergeCell ref="F40:F41"/>
    <mergeCell ref="D2:F2"/>
    <mergeCell ref="A4:F4"/>
    <mergeCell ref="A5:F5"/>
    <mergeCell ref="A6:F6"/>
    <mergeCell ref="A8:A9"/>
    <mergeCell ref="B8:B9"/>
    <mergeCell ref="C8:E8"/>
    <mergeCell ref="F8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51"/>
  <sheetViews>
    <sheetView zoomScale="75" zoomScaleNormal="75" workbookViewId="0">
      <selection activeCell="I15" sqref="I15"/>
    </sheetView>
  </sheetViews>
  <sheetFormatPr defaultColWidth="9.1796875" defaultRowHeight="14" x14ac:dyDescent="0.35"/>
  <cols>
    <col min="1" max="1" width="6.7265625" style="25" customWidth="1"/>
    <col min="2" max="2" width="46.7265625" style="25" customWidth="1"/>
    <col min="3" max="3" width="12.36328125" style="25" customWidth="1"/>
    <col min="4" max="4" width="13.36328125" style="25" customWidth="1"/>
    <col min="5" max="5" width="12.36328125" style="25" customWidth="1"/>
    <col min="6" max="6" width="13.54296875" style="25" customWidth="1"/>
    <col min="7" max="7" width="9.1796875" style="25"/>
    <col min="8" max="8" width="11.1796875" style="25" customWidth="1"/>
    <col min="9" max="16384" width="9.1796875" style="25"/>
  </cols>
  <sheetData>
    <row r="1" spans="1:10" x14ac:dyDescent="0.35">
      <c r="E1" s="109"/>
      <c r="F1" s="109" t="s">
        <v>78</v>
      </c>
    </row>
    <row r="2" spans="1:10" ht="41.5" customHeight="1" x14ac:dyDescent="0.35">
      <c r="D2" s="149" t="s">
        <v>58</v>
      </c>
      <c r="E2" s="149"/>
      <c r="F2" s="149"/>
    </row>
    <row r="3" spans="1:10" x14ac:dyDescent="0.35">
      <c r="A3" s="110"/>
      <c r="B3" s="110"/>
    </row>
    <row r="4" spans="1:10" ht="35.5" customHeight="1" x14ac:dyDescent="0.35">
      <c r="A4" s="150" t="s">
        <v>143</v>
      </c>
      <c r="B4" s="150"/>
      <c r="C4" s="150"/>
      <c r="D4" s="150"/>
      <c r="E4" s="150"/>
      <c r="F4" s="150"/>
    </row>
    <row r="5" spans="1:10" ht="15.5" customHeight="1" x14ac:dyDescent="0.35">
      <c r="A5" s="151" t="s">
        <v>79</v>
      </c>
      <c r="B5" s="151"/>
      <c r="C5" s="151"/>
      <c r="D5" s="151"/>
      <c r="E5" s="151"/>
      <c r="F5" s="151"/>
    </row>
    <row r="6" spans="1:10" ht="15" customHeight="1" x14ac:dyDescent="0.35">
      <c r="A6" s="152" t="s">
        <v>92</v>
      </c>
      <c r="B6" s="152"/>
      <c r="C6" s="152"/>
      <c r="D6" s="152"/>
      <c r="E6" s="152"/>
      <c r="F6" s="152"/>
    </row>
    <row r="7" spans="1:10" x14ac:dyDescent="0.35">
      <c r="A7" s="27"/>
      <c r="B7" s="27"/>
      <c r="C7" s="27"/>
      <c r="D7" s="27"/>
      <c r="E7" s="111"/>
      <c r="F7" s="111"/>
    </row>
    <row r="8" spans="1:10" ht="14" customHeight="1" x14ac:dyDescent="0.35">
      <c r="A8" s="153" t="s">
        <v>80</v>
      </c>
      <c r="B8" s="153" t="s">
        <v>7</v>
      </c>
      <c r="C8" s="153" t="s">
        <v>81</v>
      </c>
      <c r="D8" s="153"/>
      <c r="E8" s="153"/>
      <c r="F8" s="154" t="s">
        <v>82</v>
      </c>
    </row>
    <row r="9" spans="1:10" ht="46" x14ac:dyDescent="0.35">
      <c r="A9" s="153"/>
      <c r="B9" s="153"/>
      <c r="C9" s="112" t="s">
        <v>83</v>
      </c>
      <c r="D9" s="112" t="s">
        <v>84</v>
      </c>
      <c r="E9" s="112" t="s">
        <v>85</v>
      </c>
      <c r="F9" s="154"/>
    </row>
    <row r="10" spans="1:10" x14ac:dyDescent="0.35">
      <c r="A10" s="113">
        <v>1</v>
      </c>
      <c r="B10" s="113">
        <v>2</v>
      </c>
      <c r="C10" s="113">
        <v>3</v>
      </c>
      <c r="D10" s="113">
        <v>4</v>
      </c>
      <c r="E10" s="113">
        <v>5</v>
      </c>
      <c r="F10" s="113">
        <v>6</v>
      </c>
      <c r="G10" s="28"/>
    </row>
    <row r="11" spans="1:10" ht="26" x14ac:dyDescent="0.35">
      <c r="A11" s="114" t="s">
        <v>86</v>
      </c>
      <c r="B11" s="115" t="s">
        <v>87</v>
      </c>
      <c r="C11" s="29">
        <f>SUM(C12:C13)</f>
        <v>121700</v>
      </c>
      <c r="D11" s="29">
        <f>SUM(D12:D13)</f>
        <v>16</v>
      </c>
      <c r="E11" s="78">
        <f>SUM(E12:E13)</f>
        <v>556.20000000000005</v>
      </c>
      <c r="F11" s="29">
        <f>C11/D11</f>
        <v>7606</v>
      </c>
      <c r="G11" s="30"/>
      <c r="H11" s="27"/>
      <c r="I11" s="27"/>
      <c r="J11" s="27"/>
    </row>
    <row r="12" spans="1:10" x14ac:dyDescent="0.35">
      <c r="A12" s="116"/>
      <c r="B12" s="117" t="s">
        <v>88</v>
      </c>
      <c r="C12" s="26">
        <f>26000+49400</f>
        <v>75400</v>
      </c>
      <c r="D12" s="26">
        <f>3+9</f>
        <v>12</v>
      </c>
      <c r="E12" s="79">
        <f>45+116</f>
        <v>161</v>
      </c>
      <c r="F12" s="26">
        <f t="shared" ref="F12" si="0">C12/D12</f>
        <v>6283</v>
      </c>
      <c r="G12" s="30"/>
      <c r="H12" s="27"/>
      <c r="I12" s="27"/>
      <c r="J12" s="27"/>
    </row>
    <row r="13" spans="1:10" x14ac:dyDescent="0.35">
      <c r="A13" s="116"/>
      <c r="B13" s="117" t="s">
        <v>89</v>
      </c>
      <c r="C13" s="26">
        <v>46300</v>
      </c>
      <c r="D13" s="26">
        <v>4</v>
      </c>
      <c r="E13" s="79">
        <v>395.2</v>
      </c>
      <c r="F13" s="26">
        <f>C13/D13</f>
        <v>11575</v>
      </c>
      <c r="G13" s="30"/>
      <c r="H13" s="27"/>
      <c r="I13" s="27"/>
      <c r="J13" s="27"/>
    </row>
    <row r="14" spans="1:10" ht="26" x14ac:dyDescent="0.35">
      <c r="A14" s="116" t="s">
        <v>90</v>
      </c>
      <c r="B14" s="118" t="s">
        <v>91</v>
      </c>
      <c r="C14" s="29">
        <f>SUM(C15:C16)</f>
        <v>147700</v>
      </c>
      <c r="D14" s="26">
        <f>SUM(D15:D16)</f>
        <v>16</v>
      </c>
      <c r="E14" s="79">
        <f>SUM(E15:E16)</f>
        <v>556.20000000000005</v>
      </c>
      <c r="F14" s="26">
        <f>C14/D14</f>
        <v>9231</v>
      </c>
      <c r="G14" s="30"/>
      <c r="H14" s="32"/>
      <c r="I14" s="27"/>
      <c r="J14" s="27"/>
    </row>
    <row r="15" spans="1:10" x14ac:dyDescent="0.35">
      <c r="A15" s="116"/>
      <c r="B15" s="117" t="s">
        <v>88</v>
      </c>
      <c r="C15" s="26">
        <f>24500+79700</f>
        <v>104200</v>
      </c>
      <c r="D15" s="26">
        <f>D12</f>
        <v>12</v>
      </c>
      <c r="E15" s="79">
        <f>E12</f>
        <v>161</v>
      </c>
      <c r="F15" s="26">
        <f t="shared" ref="F15:F16" si="1">C15/D15</f>
        <v>8683</v>
      </c>
      <c r="G15" s="30"/>
      <c r="H15" s="32"/>
      <c r="I15" s="27"/>
      <c r="J15" s="27"/>
    </row>
    <row r="16" spans="1:10" x14ac:dyDescent="0.35">
      <c r="A16" s="116"/>
      <c r="B16" s="117" t="s">
        <v>89</v>
      </c>
      <c r="C16" s="26">
        <v>43500</v>
      </c>
      <c r="D16" s="26">
        <f>D13</f>
        <v>4</v>
      </c>
      <c r="E16" s="79">
        <f>E13</f>
        <v>395.2</v>
      </c>
      <c r="F16" s="26">
        <f t="shared" si="1"/>
        <v>10875</v>
      </c>
      <c r="G16" s="30"/>
      <c r="H16" s="32"/>
      <c r="I16" s="27"/>
      <c r="J16" s="27"/>
    </row>
    <row r="17" spans="1:10" x14ac:dyDescent="0.35">
      <c r="A17" s="34"/>
      <c r="B17" s="34"/>
      <c r="C17" s="34"/>
      <c r="D17" s="34"/>
      <c r="E17" s="35"/>
      <c r="F17" s="36"/>
      <c r="G17" s="36"/>
      <c r="H17" s="27"/>
      <c r="I17" s="27"/>
      <c r="J17" s="27"/>
    </row>
    <row r="18" spans="1:10" ht="15" customHeight="1" x14ac:dyDescent="0.35">
      <c r="A18" s="152" t="s">
        <v>144</v>
      </c>
      <c r="B18" s="152"/>
      <c r="C18" s="152"/>
      <c r="D18" s="152"/>
      <c r="E18" s="152"/>
      <c r="F18" s="152"/>
    </row>
    <row r="19" spans="1:10" x14ac:dyDescent="0.35">
      <c r="A19" s="27"/>
      <c r="B19" s="27"/>
      <c r="C19" s="27"/>
      <c r="D19" s="27"/>
      <c r="E19" s="111"/>
      <c r="F19" s="111"/>
    </row>
    <row r="20" spans="1:10" ht="14" customHeight="1" x14ac:dyDescent="0.35">
      <c r="A20" s="153" t="s">
        <v>80</v>
      </c>
      <c r="B20" s="153" t="s">
        <v>7</v>
      </c>
      <c r="C20" s="153" t="s">
        <v>81</v>
      </c>
      <c r="D20" s="153"/>
      <c r="E20" s="153"/>
      <c r="F20" s="154" t="s">
        <v>82</v>
      </c>
    </row>
    <row r="21" spans="1:10" ht="46" x14ac:dyDescent="0.35">
      <c r="A21" s="153"/>
      <c r="B21" s="153"/>
      <c r="C21" s="112" t="s">
        <v>83</v>
      </c>
      <c r="D21" s="112" t="s">
        <v>84</v>
      </c>
      <c r="E21" s="112" t="s">
        <v>85</v>
      </c>
      <c r="F21" s="154"/>
    </row>
    <row r="22" spans="1:10" x14ac:dyDescent="0.35">
      <c r="A22" s="113">
        <v>1</v>
      </c>
      <c r="B22" s="113">
        <v>2</v>
      </c>
      <c r="C22" s="113">
        <v>3</v>
      </c>
      <c r="D22" s="113">
        <v>4</v>
      </c>
      <c r="E22" s="113">
        <v>5</v>
      </c>
      <c r="F22" s="113">
        <v>6</v>
      </c>
      <c r="G22" s="28"/>
    </row>
    <row r="23" spans="1:10" ht="26" x14ac:dyDescent="0.35">
      <c r="A23" s="114" t="s">
        <v>86</v>
      </c>
      <c r="B23" s="115" t="s">
        <v>87</v>
      </c>
      <c r="C23" s="29">
        <f>SUM(C24:C25)</f>
        <v>85700</v>
      </c>
      <c r="D23" s="29">
        <f>SUM(D24:D25)</f>
        <v>7</v>
      </c>
      <c r="E23" s="78">
        <f>SUM(E24:E25)</f>
        <v>321.5</v>
      </c>
      <c r="F23" s="29">
        <f>C23/D23</f>
        <v>12243</v>
      </c>
      <c r="G23" s="30"/>
      <c r="H23" s="27"/>
      <c r="I23" s="27"/>
      <c r="J23" s="27"/>
    </row>
    <row r="24" spans="1:10" x14ac:dyDescent="0.35">
      <c r="A24" s="116"/>
      <c r="B24" s="117" t="s">
        <v>88</v>
      </c>
      <c r="C24" s="26">
        <f>12100+100+14300</f>
        <v>26500</v>
      </c>
      <c r="D24" s="26">
        <f>1+2</f>
        <v>3</v>
      </c>
      <c r="E24" s="79">
        <f>1.5+25</f>
        <v>26.5</v>
      </c>
      <c r="F24" s="26">
        <f t="shared" ref="F24" si="2">C24/D24</f>
        <v>8833</v>
      </c>
      <c r="G24" s="30"/>
      <c r="H24" s="27"/>
      <c r="I24" s="27"/>
      <c r="J24" s="27"/>
    </row>
    <row r="25" spans="1:10" x14ac:dyDescent="0.35">
      <c r="A25" s="116"/>
      <c r="B25" s="117" t="s">
        <v>89</v>
      </c>
      <c r="C25" s="26">
        <f>59000+200</f>
        <v>59200</v>
      </c>
      <c r="D25" s="26">
        <v>4</v>
      </c>
      <c r="E25" s="79">
        <v>295</v>
      </c>
      <c r="F25" s="26">
        <f>C25/D25</f>
        <v>14800</v>
      </c>
      <c r="G25" s="30"/>
      <c r="H25" s="27"/>
      <c r="I25" s="27"/>
      <c r="J25" s="27"/>
    </row>
    <row r="26" spans="1:10" ht="26" x14ac:dyDescent="0.35">
      <c r="A26" s="116" t="s">
        <v>90</v>
      </c>
      <c r="B26" s="118" t="s">
        <v>91</v>
      </c>
      <c r="C26" s="29">
        <f>SUM(C27:C28)</f>
        <v>90400</v>
      </c>
      <c r="D26" s="26">
        <f>SUM(D27:D28)</f>
        <v>7</v>
      </c>
      <c r="E26" s="79">
        <f>SUM(E27:E28)</f>
        <v>321.5</v>
      </c>
      <c r="F26" s="26">
        <f>C26/D26</f>
        <v>12914</v>
      </c>
      <c r="G26" s="30"/>
      <c r="H26" s="32"/>
      <c r="I26" s="27"/>
      <c r="J26" s="27"/>
    </row>
    <row r="27" spans="1:10" x14ac:dyDescent="0.35">
      <c r="A27" s="116"/>
      <c r="B27" s="117" t="s">
        <v>88</v>
      </c>
      <c r="C27" s="26">
        <f>11400+100+23200</f>
        <v>34700</v>
      </c>
      <c r="D27" s="26">
        <f>D24</f>
        <v>3</v>
      </c>
      <c r="E27" s="79">
        <f>E24</f>
        <v>26.5</v>
      </c>
      <c r="F27" s="26">
        <f t="shared" ref="F27:F28" si="3">C27/D27</f>
        <v>11567</v>
      </c>
      <c r="G27" s="30"/>
      <c r="H27" s="32"/>
      <c r="I27" s="27"/>
      <c r="J27" s="27"/>
    </row>
    <row r="28" spans="1:10" x14ac:dyDescent="0.35">
      <c r="A28" s="116"/>
      <c r="B28" s="117" t="s">
        <v>89</v>
      </c>
      <c r="C28" s="26">
        <f>55500+200</f>
        <v>55700</v>
      </c>
      <c r="D28" s="26">
        <f>D25</f>
        <v>4</v>
      </c>
      <c r="E28" s="79">
        <f>E25</f>
        <v>295</v>
      </c>
      <c r="F28" s="26">
        <f t="shared" si="3"/>
        <v>13925</v>
      </c>
      <c r="G28" s="30"/>
      <c r="H28" s="32"/>
      <c r="I28" s="27"/>
      <c r="J28" s="27"/>
    </row>
    <row r="30" spans="1:10" ht="15" customHeight="1" x14ac:dyDescent="0.35">
      <c r="A30" s="152" t="s">
        <v>159</v>
      </c>
      <c r="B30" s="152"/>
      <c r="C30" s="152"/>
      <c r="D30" s="152"/>
      <c r="E30" s="152"/>
      <c r="F30" s="152"/>
    </row>
    <row r="31" spans="1:10" x14ac:dyDescent="0.35">
      <c r="A31" s="27"/>
      <c r="B31" s="27"/>
      <c r="C31" s="27"/>
      <c r="D31" s="27"/>
      <c r="E31" s="111"/>
      <c r="F31" s="111"/>
    </row>
    <row r="32" spans="1:10" ht="14" customHeight="1" x14ac:dyDescent="0.35">
      <c r="A32" s="153" t="s">
        <v>80</v>
      </c>
      <c r="B32" s="153" t="s">
        <v>7</v>
      </c>
      <c r="C32" s="153" t="s">
        <v>81</v>
      </c>
      <c r="D32" s="153"/>
      <c r="E32" s="153"/>
      <c r="F32" s="154" t="s">
        <v>82</v>
      </c>
    </row>
    <row r="33" spans="1:12" ht="48.5" customHeight="1" x14ac:dyDescent="0.35">
      <c r="A33" s="153"/>
      <c r="B33" s="153"/>
      <c r="C33" s="112" t="s">
        <v>83</v>
      </c>
      <c r="D33" s="112" t="s">
        <v>84</v>
      </c>
      <c r="E33" s="112" t="s">
        <v>85</v>
      </c>
      <c r="F33" s="154"/>
    </row>
    <row r="34" spans="1:12" x14ac:dyDescent="0.35">
      <c r="A34" s="113">
        <v>1</v>
      </c>
      <c r="B34" s="113">
        <v>2</v>
      </c>
      <c r="C34" s="113">
        <v>3</v>
      </c>
      <c r="D34" s="113">
        <v>4</v>
      </c>
      <c r="E34" s="113">
        <v>5</v>
      </c>
      <c r="F34" s="113">
        <v>6</v>
      </c>
      <c r="G34" s="28"/>
    </row>
    <row r="35" spans="1:12" ht="26" x14ac:dyDescent="0.35">
      <c r="A35" s="114" t="s">
        <v>86</v>
      </c>
      <c r="B35" s="115" t="s">
        <v>87</v>
      </c>
      <c r="C35" s="29">
        <f>SUM(C36:C37)</f>
        <v>170800</v>
      </c>
      <c r="D35" s="29">
        <f>SUM(D36:D37)</f>
        <v>14</v>
      </c>
      <c r="E35" s="78">
        <f>SUM(E36:E37)</f>
        <v>789.5</v>
      </c>
      <c r="F35" s="29">
        <f>C35/D35</f>
        <v>12200</v>
      </c>
      <c r="G35" s="30"/>
      <c r="H35" s="27"/>
      <c r="I35" s="27"/>
      <c r="J35" s="27"/>
    </row>
    <row r="36" spans="1:12" x14ac:dyDescent="0.35">
      <c r="A36" s="116"/>
      <c r="B36" s="117" t="s">
        <v>88</v>
      </c>
      <c r="C36" s="26">
        <f>49800+800+25000</f>
        <v>75600</v>
      </c>
      <c r="D36" s="26">
        <f>5+3</f>
        <v>8</v>
      </c>
      <c r="E36" s="79">
        <f>17.5+32</f>
        <v>49.5</v>
      </c>
      <c r="F36" s="26">
        <f t="shared" ref="F36" si="4">C36/D36</f>
        <v>9450</v>
      </c>
      <c r="G36" s="30"/>
      <c r="H36" s="27"/>
      <c r="I36" s="27"/>
      <c r="J36" s="27"/>
    </row>
    <row r="37" spans="1:12" x14ac:dyDescent="0.35">
      <c r="A37" s="116"/>
      <c r="B37" s="117" t="s">
        <v>89</v>
      </c>
      <c r="C37" s="26">
        <f>93500+1700</f>
        <v>95200</v>
      </c>
      <c r="D37" s="26">
        <v>6</v>
      </c>
      <c r="E37" s="79">
        <v>740</v>
      </c>
      <c r="F37" s="26">
        <f>C37/D37</f>
        <v>15867</v>
      </c>
      <c r="G37" s="30"/>
      <c r="H37" s="27"/>
      <c r="I37" s="27"/>
      <c r="J37" s="27"/>
    </row>
    <row r="38" spans="1:12" ht="29.5" customHeight="1" x14ac:dyDescent="0.35">
      <c r="A38" s="116" t="s">
        <v>90</v>
      </c>
      <c r="B38" s="118" t="s">
        <v>91</v>
      </c>
      <c r="C38" s="29"/>
      <c r="D38" s="26"/>
      <c r="E38" s="79"/>
      <c r="F38" s="26"/>
      <c r="G38" s="30"/>
      <c r="H38" s="32"/>
      <c r="I38" s="27"/>
      <c r="J38" s="27"/>
    </row>
    <row r="39" spans="1:12" ht="65" x14ac:dyDescent="0.35">
      <c r="A39" s="116" t="s">
        <v>160</v>
      </c>
      <c r="B39" s="118" t="s">
        <v>161</v>
      </c>
      <c r="C39" s="29">
        <f>SUM(C40:C41)</f>
        <v>86700</v>
      </c>
      <c r="D39" s="26">
        <f>SUM(D40:D41)</f>
        <v>14</v>
      </c>
      <c r="E39" s="79">
        <f>SUM(E40:E41)</f>
        <v>789.5</v>
      </c>
      <c r="F39" s="26">
        <f>C39/D39</f>
        <v>6193</v>
      </c>
      <c r="G39" s="30"/>
      <c r="H39" s="32"/>
      <c r="I39" s="27"/>
      <c r="J39" s="27"/>
    </row>
    <row r="40" spans="1:12" x14ac:dyDescent="0.35">
      <c r="A40" s="116"/>
      <c r="B40" s="117" t="s">
        <v>88</v>
      </c>
      <c r="C40" s="26">
        <f>25300+400+12700</f>
        <v>38400</v>
      </c>
      <c r="D40" s="26">
        <f>D36</f>
        <v>8</v>
      </c>
      <c r="E40" s="79">
        <f>E36</f>
        <v>49.5</v>
      </c>
      <c r="F40" s="26">
        <f>C40/D40</f>
        <v>4800</v>
      </c>
      <c r="G40" s="30"/>
      <c r="H40" s="32"/>
      <c r="I40" s="27"/>
      <c r="J40" s="27"/>
    </row>
    <row r="41" spans="1:12" x14ac:dyDescent="0.35">
      <c r="A41" s="116"/>
      <c r="B41" s="117" t="s">
        <v>89</v>
      </c>
      <c r="C41" s="26">
        <f>47400+900</f>
        <v>48300</v>
      </c>
      <c r="D41" s="26">
        <f>D37</f>
        <v>6</v>
      </c>
      <c r="E41" s="79">
        <f>E37</f>
        <v>740</v>
      </c>
      <c r="F41" s="26">
        <f>C41/D41</f>
        <v>8050</v>
      </c>
    </row>
    <row r="42" spans="1:12" x14ac:dyDescent="0.35">
      <c r="B42" s="38"/>
      <c r="C42" s="39"/>
      <c r="D42" s="39"/>
      <c r="E42" s="38"/>
      <c r="F42" s="37"/>
      <c r="G42" s="37"/>
      <c r="H42" s="37"/>
      <c r="I42" s="37"/>
      <c r="J42" s="37"/>
      <c r="K42" s="37"/>
    </row>
    <row r="43" spans="1:12" x14ac:dyDescent="0.35">
      <c r="B43" s="40"/>
      <c r="C43" s="37"/>
      <c r="D43" s="37"/>
      <c r="E43" s="40"/>
      <c r="F43" s="37"/>
      <c r="G43" s="37"/>
      <c r="H43" s="37"/>
      <c r="I43" s="37"/>
      <c r="J43" s="37"/>
      <c r="K43" s="37"/>
    </row>
    <row r="44" spans="1:12" x14ac:dyDescent="0.35"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2" x14ac:dyDescent="0.35"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2" x14ac:dyDescent="0.35"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2" x14ac:dyDescent="0.35">
      <c r="B47" s="37"/>
      <c r="C47" s="37"/>
      <c r="D47" s="155"/>
      <c r="E47" s="155"/>
      <c r="F47" s="37"/>
      <c r="G47" s="41"/>
      <c r="H47" s="155"/>
      <c r="I47" s="155"/>
      <c r="J47" s="37"/>
      <c r="K47" s="37"/>
    </row>
    <row r="48" spans="1:12" x14ac:dyDescent="0.35">
      <c r="B48" s="42"/>
      <c r="C48" s="37"/>
      <c r="D48" s="43"/>
      <c r="E48" s="44"/>
      <c r="F48" s="37"/>
      <c r="G48" s="13"/>
      <c r="H48" s="45"/>
      <c r="I48" s="46"/>
      <c r="J48" s="37"/>
      <c r="K48" s="37"/>
      <c r="L48" s="47"/>
    </row>
    <row r="49" spans="2:12" x14ac:dyDescent="0.35">
      <c r="B49" s="42"/>
      <c r="C49" s="37"/>
      <c r="D49" s="43"/>
      <c r="E49" s="44"/>
      <c r="F49" s="37"/>
      <c r="G49" s="13"/>
      <c r="H49" s="45"/>
      <c r="I49" s="46"/>
      <c r="J49" s="37"/>
      <c r="K49" s="37"/>
      <c r="L49" s="47"/>
    </row>
    <row r="50" spans="2:12" x14ac:dyDescent="0.35"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2:12" x14ac:dyDescent="0.35">
      <c r="B51" s="37"/>
      <c r="C51" s="37"/>
      <c r="D51" s="37"/>
      <c r="E51" s="37"/>
      <c r="F51" s="37"/>
      <c r="G51" s="37"/>
      <c r="H51" s="37"/>
      <c r="I51" s="37"/>
      <c r="J51" s="37"/>
      <c r="K51" s="37"/>
    </row>
  </sheetData>
  <mergeCells count="20">
    <mergeCell ref="H47:I47"/>
    <mergeCell ref="A18:F18"/>
    <mergeCell ref="A20:A21"/>
    <mergeCell ref="B20:B21"/>
    <mergeCell ref="C20:E20"/>
    <mergeCell ref="F20:F21"/>
    <mergeCell ref="A30:F30"/>
    <mergeCell ref="A32:A33"/>
    <mergeCell ref="B32:B33"/>
    <mergeCell ref="C32:E32"/>
    <mergeCell ref="F32:F33"/>
    <mergeCell ref="D47:E47"/>
    <mergeCell ref="D2:F2"/>
    <mergeCell ref="A4:F4"/>
    <mergeCell ref="A5:F5"/>
    <mergeCell ref="A6:F6"/>
    <mergeCell ref="A8:A9"/>
    <mergeCell ref="B8:B9"/>
    <mergeCell ref="C8:E8"/>
    <mergeCell ref="F8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44"/>
  <sheetViews>
    <sheetView zoomScale="75" zoomScaleNormal="75" workbookViewId="0">
      <selection activeCell="C12" sqref="C12"/>
    </sheetView>
  </sheetViews>
  <sheetFormatPr defaultColWidth="9.1796875" defaultRowHeight="14" x14ac:dyDescent="0.35"/>
  <cols>
    <col min="1" max="1" width="6.7265625" style="25" customWidth="1"/>
    <col min="2" max="2" width="46.7265625" style="25" customWidth="1"/>
    <col min="3" max="5" width="12.36328125" style="25" customWidth="1"/>
    <col min="6" max="6" width="14.7265625" style="25" customWidth="1"/>
    <col min="7" max="7" width="7.453125" style="25" customWidth="1"/>
    <col min="8" max="8" width="8.1796875" style="25" customWidth="1"/>
    <col min="9" max="9" width="7.54296875" style="25" customWidth="1"/>
    <col min="10" max="10" width="11.1796875" style="25" customWidth="1"/>
    <col min="11" max="16384" width="9.1796875" style="25"/>
  </cols>
  <sheetData>
    <row r="1" spans="1:10" x14ac:dyDescent="0.35">
      <c r="E1" s="109" t="s">
        <v>96</v>
      </c>
    </row>
    <row r="2" spans="1:10" ht="61" customHeight="1" x14ac:dyDescent="0.35">
      <c r="C2" s="149" t="s">
        <v>58</v>
      </c>
      <c r="D2" s="149"/>
      <c r="E2" s="149"/>
    </row>
    <row r="3" spans="1:10" x14ac:dyDescent="0.35">
      <c r="A3" s="110"/>
      <c r="B3" s="110"/>
    </row>
    <row r="4" spans="1:10" ht="15.5" x14ac:dyDescent="0.35">
      <c r="A4" s="156" t="s">
        <v>97</v>
      </c>
      <c r="B4" s="156"/>
      <c r="C4" s="156"/>
      <c r="D4" s="156"/>
      <c r="E4" s="156"/>
    </row>
    <row r="5" spans="1:10" ht="49.5" customHeight="1" x14ac:dyDescent="0.35">
      <c r="A5" s="150" t="s">
        <v>164</v>
      </c>
      <c r="B5" s="150"/>
      <c r="C5" s="150"/>
      <c r="D5" s="150"/>
      <c r="E5" s="150"/>
    </row>
    <row r="6" spans="1:10" ht="49.5" customHeight="1" x14ac:dyDescent="0.35">
      <c r="A6" s="151" t="s">
        <v>165</v>
      </c>
      <c r="B6" s="151"/>
      <c r="C6" s="151"/>
      <c r="D6" s="151"/>
      <c r="E6" s="151"/>
    </row>
    <row r="7" spans="1:10" ht="14.5" thickBot="1" x14ac:dyDescent="0.4">
      <c r="A7" s="27"/>
      <c r="B7" s="27"/>
      <c r="C7" s="27"/>
      <c r="D7" s="27"/>
      <c r="E7" s="111" t="s">
        <v>98</v>
      </c>
    </row>
    <row r="8" spans="1:10" ht="14.5" customHeight="1" x14ac:dyDescent="0.35">
      <c r="A8" s="157" t="s">
        <v>80</v>
      </c>
      <c r="B8" s="157" t="s">
        <v>99</v>
      </c>
      <c r="C8" s="157" t="s">
        <v>166</v>
      </c>
      <c r="D8" s="157" t="s">
        <v>145</v>
      </c>
      <c r="E8" s="157" t="s">
        <v>100</v>
      </c>
    </row>
    <row r="9" spans="1:10" ht="14.5" thickBot="1" x14ac:dyDescent="0.4">
      <c r="A9" s="158"/>
      <c r="B9" s="158"/>
      <c r="C9" s="158"/>
      <c r="D9" s="158"/>
      <c r="E9" s="159"/>
      <c r="G9" s="48"/>
      <c r="H9" s="48"/>
      <c r="I9" s="48"/>
      <c r="J9" s="49"/>
    </row>
    <row r="10" spans="1:10" ht="16" thickBot="1" x14ac:dyDescent="0.4">
      <c r="A10" s="128">
        <v>1</v>
      </c>
      <c r="B10" s="128">
        <v>2</v>
      </c>
      <c r="C10" s="129">
        <v>3</v>
      </c>
      <c r="D10" s="129"/>
      <c r="E10" s="129">
        <v>5</v>
      </c>
      <c r="F10" s="28"/>
      <c r="G10" s="28"/>
    </row>
    <row r="11" spans="1:10" ht="31" x14ac:dyDescent="0.35">
      <c r="A11" s="130" t="s">
        <v>86</v>
      </c>
      <c r="B11" s="131" t="s">
        <v>101</v>
      </c>
      <c r="C11" s="80">
        <f t="shared" ref="C11:E11" si="0">C12+C13+C14+C15+C16+C25</f>
        <v>6214.4</v>
      </c>
      <c r="D11" s="80">
        <f t="shared" si="0"/>
        <v>4783.3999999999996</v>
      </c>
      <c r="E11" s="80">
        <f t="shared" si="0"/>
        <v>3447.3</v>
      </c>
      <c r="F11" s="28"/>
      <c r="G11" s="50"/>
      <c r="H11" s="50"/>
      <c r="I11" s="50"/>
      <c r="J11" s="51"/>
    </row>
    <row r="12" spans="1:10" ht="15.5" x14ac:dyDescent="0.35">
      <c r="A12" s="132" t="s">
        <v>102</v>
      </c>
      <c r="B12" s="133" t="s">
        <v>103</v>
      </c>
      <c r="C12" s="81">
        <v>41.9</v>
      </c>
      <c r="D12" s="81">
        <v>17</v>
      </c>
      <c r="E12" s="81">
        <f>36.8</f>
        <v>36.799999999999997</v>
      </c>
      <c r="F12" s="28"/>
      <c r="G12" s="50"/>
      <c r="H12" s="50"/>
      <c r="I12" s="50"/>
      <c r="J12" s="52"/>
    </row>
    <row r="13" spans="1:10" ht="14.25" customHeight="1" x14ac:dyDescent="0.35">
      <c r="A13" s="132" t="s">
        <v>104</v>
      </c>
      <c r="B13" s="133" t="s">
        <v>105</v>
      </c>
      <c r="C13" s="81">
        <v>31.3</v>
      </c>
      <c r="D13" s="81">
        <v>6.4</v>
      </c>
      <c r="E13" s="81">
        <v>7.1</v>
      </c>
      <c r="F13" s="28"/>
      <c r="G13" s="50"/>
      <c r="H13" s="50"/>
      <c r="I13" s="50"/>
      <c r="J13" s="52"/>
    </row>
    <row r="14" spans="1:10" ht="14.25" customHeight="1" x14ac:dyDescent="0.35">
      <c r="A14" s="132" t="s">
        <v>106</v>
      </c>
      <c r="B14" s="133" t="s">
        <v>107</v>
      </c>
      <c r="C14" s="81">
        <v>4080.3</v>
      </c>
      <c r="D14" s="81">
        <v>3396.8</v>
      </c>
      <c r="E14" s="81">
        <v>2441.1</v>
      </c>
      <c r="G14" s="50"/>
      <c r="H14" s="50"/>
      <c r="I14" s="50"/>
      <c r="J14" s="52"/>
    </row>
    <row r="15" spans="1:10" ht="14.25" customHeight="1" x14ac:dyDescent="0.35">
      <c r="A15" s="132" t="s">
        <v>108</v>
      </c>
      <c r="B15" s="133" t="s">
        <v>109</v>
      </c>
      <c r="C15" s="81">
        <v>1244.0999999999999</v>
      </c>
      <c r="D15" s="81">
        <v>1037</v>
      </c>
      <c r="E15" s="81">
        <v>745</v>
      </c>
      <c r="F15" s="53"/>
      <c r="G15" s="50"/>
      <c r="H15" s="50"/>
      <c r="I15" s="50"/>
      <c r="J15" s="52"/>
    </row>
    <row r="16" spans="1:10" ht="14.25" customHeight="1" x14ac:dyDescent="0.35">
      <c r="A16" s="132" t="s">
        <v>110</v>
      </c>
      <c r="B16" s="133" t="s">
        <v>111</v>
      </c>
      <c r="C16" s="81">
        <f t="shared" ref="C16:E16" si="1">C17+C18+C19</f>
        <v>659.2</v>
      </c>
      <c r="D16" s="81">
        <f t="shared" si="1"/>
        <v>320.60000000000002</v>
      </c>
      <c r="E16" s="81">
        <f t="shared" si="1"/>
        <v>217.3</v>
      </c>
      <c r="F16" s="54"/>
      <c r="G16" s="50"/>
      <c r="H16" s="50"/>
      <c r="I16" s="50"/>
      <c r="J16" s="52"/>
    </row>
    <row r="17" spans="1:10" ht="14.25" customHeight="1" x14ac:dyDescent="0.35">
      <c r="A17" s="132" t="s">
        <v>112</v>
      </c>
      <c r="B17" s="134" t="s">
        <v>113</v>
      </c>
      <c r="C17" s="81">
        <v>0.9</v>
      </c>
      <c r="D17" s="81">
        <v>6.5</v>
      </c>
      <c r="E17" s="81">
        <v>1</v>
      </c>
      <c r="F17" s="28"/>
      <c r="G17" s="50"/>
      <c r="H17" s="50"/>
      <c r="I17" s="50"/>
      <c r="J17" s="52"/>
    </row>
    <row r="18" spans="1:10" ht="26.5" customHeight="1" x14ac:dyDescent="0.35">
      <c r="A18" s="132" t="s">
        <v>114</v>
      </c>
      <c r="B18" s="134" t="s">
        <v>115</v>
      </c>
      <c r="C18" s="81">
        <v>169.6</v>
      </c>
      <c r="D18" s="81">
        <v>40.799999999999997</v>
      </c>
      <c r="E18" s="81">
        <v>43.6</v>
      </c>
      <c r="G18" s="50"/>
      <c r="H18" s="50"/>
      <c r="I18" s="50"/>
      <c r="J18" s="52"/>
    </row>
    <row r="19" spans="1:10" ht="27.75" customHeight="1" x14ac:dyDescent="0.35">
      <c r="A19" s="132" t="s">
        <v>116</v>
      </c>
      <c r="B19" s="134" t="s">
        <v>117</v>
      </c>
      <c r="C19" s="81">
        <f t="shared" ref="C19:E19" si="2">C20+C21+C22+C23+C24</f>
        <v>488.7</v>
      </c>
      <c r="D19" s="81">
        <f t="shared" si="2"/>
        <v>273.3</v>
      </c>
      <c r="E19" s="81">
        <f t="shared" si="2"/>
        <v>172.7</v>
      </c>
      <c r="G19" s="50"/>
      <c r="H19" s="50"/>
      <c r="I19" s="50"/>
      <c r="J19" s="52"/>
    </row>
    <row r="20" spans="1:10" ht="14.25" customHeight="1" x14ac:dyDescent="0.35">
      <c r="A20" s="132" t="s">
        <v>118</v>
      </c>
      <c r="B20" s="133" t="s">
        <v>119</v>
      </c>
      <c r="C20" s="81">
        <v>19.7</v>
      </c>
      <c r="D20" s="81">
        <v>2.9</v>
      </c>
      <c r="E20" s="81">
        <v>3.1</v>
      </c>
      <c r="G20" s="50"/>
      <c r="H20" s="50"/>
      <c r="I20" s="50"/>
      <c r="J20" s="52"/>
    </row>
    <row r="21" spans="1:10" ht="14.25" customHeight="1" x14ac:dyDescent="0.35">
      <c r="A21" s="132" t="s">
        <v>120</v>
      </c>
      <c r="B21" s="133" t="s">
        <v>121</v>
      </c>
      <c r="C21" s="81"/>
      <c r="D21" s="81"/>
      <c r="E21" s="81"/>
      <c r="G21" s="50"/>
      <c r="H21" s="50"/>
      <c r="I21" s="50"/>
      <c r="J21" s="52"/>
    </row>
    <row r="22" spans="1:10" ht="46.5" x14ac:dyDescent="0.35">
      <c r="A22" s="132" t="s">
        <v>122</v>
      </c>
      <c r="B22" s="133" t="s">
        <v>123</v>
      </c>
      <c r="C22" s="81">
        <v>17</v>
      </c>
      <c r="D22" s="81">
        <v>6.1</v>
      </c>
      <c r="E22" s="81">
        <v>4.5</v>
      </c>
      <c r="G22" s="50"/>
      <c r="H22" s="50"/>
      <c r="I22" s="50"/>
      <c r="J22" s="52"/>
    </row>
    <row r="23" spans="1:10" ht="14.25" customHeight="1" x14ac:dyDescent="0.35">
      <c r="A23" s="132" t="s">
        <v>124</v>
      </c>
      <c r="B23" s="133" t="s">
        <v>125</v>
      </c>
      <c r="C23" s="81">
        <v>2.7</v>
      </c>
      <c r="D23" s="81">
        <v>0</v>
      </c>
      <c r="E23" s="81">
        <v>0</v>
      </c>
      <c r="G23" s="50"/>
      <c r="H23" s="50"/>
      <c r="I23" s="50"/>
      <c r="J23" s="52"/>
    </row>
    <row r="24" spans="1:10" ht="27.75" customHeight="1" x14ac:dyDescent="0.35">
      <c r="A24" s="132" t="s">
        <v>126</v>
      </c>
      <c r="B24" s="133" t="s">
        <v>127</v>
      </c>
      <c r="C24" s="81">
        <v>449.3</v>
      </c>
      <c r="D24" s="81">
        <v>264.3</v>
      </c>
      <c r="E24" s="81">
        <v>165.1</v>
      </c>
      <c r="G24" s="50"/>
      <c r="H24" s="50"/>
      <c r="I24" s="50"/>
      <c r="J24" s="52"/>
    </row>
    <row r="25" spans="1:10" ht="15" customHeight="1" x14ac:dyDescent="0.35">
      <c r="A25" s="132" t="s">
        <v>128</v>
      </c>
      <c r="B25" s="133" t="s">
        <v>129</v>
      </c>
      <c r="C25" s="81">
        <f t="shared" ref="C25:D25" si="3">SUM(C26:C29)</f>
        <v>157.6</v>
      </c>
      <c r="D25" s="81">
        <f t="shared" si="3"/>
        <v>5.6</v>
      </c>
      <c r="E25" s="81">
        <f t="shared" ref="E25" si="4">SUM(E26:E29)</f>
        <v>0</v>
      </c>
    </row>
    <row r="26" spans="1:10" ht="15" customHeight="1" x14ac:dyDescent="0.35">
      <c r="A26" s="132" t="s">
        <v>130</v>
      </c>
      <c r="B26" s="134" t="s">
        <v>131</v>
      </c>
      <c r="C26" s="81"/>
      <c r="D26" s="81"/>
      <c r="E26" s="81"/>
      <c r="H26" s="55"/>
    </row>
    <row r="27" spans="1:10" ht="15" customHeight="1" x14ac:dyDescent="0.35">
      <c r="A27" s="132" t="s">
        <v>132</v>
      </c>
      <c r="B27" s="134" t="s">
        <v>133</v>
      </c>
      <c r="C27" s="81"/>
      <c r="D27" s="81"/>
      <c r="E27" s="81"/>
    </row>
    <row r="28" spans="1:10" ht="15" customHeight="1" x14ac:dyDescent="0.35">
      <c r="A28" s="132" t="s">
        <v>134</v>
      </c>
      <c r="B28" s="134" t="s">
        <v>135</v>
      </c>
      <c r="C28" s="81">
        <v>157.6</v>
      </c>
      <c r="D28" s="81">
        <v>5.6</v>
      </c>
      <c r="E28" s="81">
        <v>0</v>
      </c>
    </row>
    <row r="29" spans="1:10" ht="28" customHeight="1" thickBot="1" x14ac:dyDescent="0.4">
      <c r="A29" s="135" t="s">
        <v>136</v>
      </c>
      <c r="B29" s="136" t="s">
        <v>137</v>
      </c>
      <c r="C29" s="137"/>
      <c r="D29" s="137"/>
      <c r="E29" s="137"/>
    </row>
    <row r="30" spans="1:10" x14ac:dyDescent="0.35">
      <c r="A30" s="34"/>
      <c r="B30" s="34"/>
      <c r="C30" s="34"/>
      <c r="D30" s="34"/>
      <c r="E30" s="35"/>
      <c r="F30" s="36"/>
      <c r="G30" s="36"/>
    </row>
    <row r="31" spans="1:10" ht="15.5" x14ac:dyDescent="0.35">
      <c r="B31" s="56"/>
      <c r="C31" s="35"/>
      <c r="D31" s="39"/>
      <c r="E31" s="57"/>
      <c r="F31" s="58"/>
      <c r="G31" s="36"/>
    </row>
    <row r="36" spans="5:9" x14ac:dyDescent="0.35">
      <c r="G36" s="59"/>
      <c r="H36" s="36"/>
      <c r="I36" s="36"/>
    </row>
    <row r="37" spans="5:9" x14ac:dyDescent="0.35">
      <c r="G37" s="59"/>
      <c r="H37" s="36"/>
      <c r="I37" s="36"/>
    </row>
    <row r="38" spans="5:9" x14ac:dyDescent="0.35">
      <c r="G38" s="60"/>
      <c r="H38" s="36"/>
    </row>
    <row r="39" spans="5:9" x14ac:dyDescent="0.35">
      <c r="G39" s="52"/>
    </row>
    <row r="40" spans="5:9" x14ac:dyDescent="0.35">
      <c r="E40" s="61"/>
      <c r="G40" s="62"/>
    </row>
    <row r="41" spans="5:9" x14ac:dyDescent="0.35">
      <c r="F41" s="63"/>
    </row>
    <row r="44" spans="5:9" x14ac:dyDescent="0.35">
      <c r="E44" s="61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44"/>
  <sheetViews>
    <sheetView zoomScale="75" zoomScaleNormal="75" workbookViewId="0">
      <selection activeCell="F6" sqref="F6"/>
    </sheetView>
  </sheetViews>
  <sheetFormatPr defaultColWidth="9.1796875" defaultRowHeight="14" x14ac:dyDescent="0.35"/>
  <cols>
    <col min="1" max="1" width="6.7265625" style="25" customWidth="1"/>
    <col min="2" max="2" width="46.7265625" style="25" customWidth="1"/>
    <col min="3" max="5" width="12.36328125" style="25" customWidth="1"/>
    <col min="6" max="6" width="14.7265625" style="25" customWidth="1"/>
    <col min="7" max="9" width="6.36328125" style="25" customWidth="1"/>
    <col min="10" max="10" width="11.1796875" style="25" customWidth="1"/>
    <col min="11" max="16384" width="9.1796875" style="25"/>
  </cols>
  <sheetData>
    <row r="1" spans="1:10" x14ac:dyDescent="0.35">
      <c r="E1" s="109" t="s">
        <v>96</v>
      </c>
    </row>
    <row r="2" spans="1:10" ht="59" customHeight="1" x14ac:dyDescent="0.35">
      <c r="C2" s="149" t="s">
        <v>58</v>
      </c>
      <c r="D2" s="149"/>
      <c r="E2" s="149"/>
    </row>
    <row r="3" spans="1:10" x14ac:dyDescent="0.35">
      <c r="A3" s="110"/>
      <c r="B3" s="110"/>
    </row>
    <row r="4" spans="1:10" ht="15.5" x14ac:dyDescent="0.35">
      <c r="A4" s="156" t="s">
        <v>97</v>
      </c>
      <c r="B4" s="156"/>
      <c r="C4" s="156"/>
      <c r="D4" s="156"/>
      <c r="E4" s="156"/>
    </row>
    <row r="5" spans="1:10" ht="47" customHeight="1" x14ac:dyDescent="0.35">
      <c r="A5" s="150" t="s">
        <v>164</v>
      </c>
      <c r="B5" s="150"/>
      <c r="C5" s="150"/>
      <c r="D5" s="150"/>
      <c r="E5" s="150"/>
    </row>
    <row r="6" spans="1:10" ht="49.5" customHeight="1" x14ac:dyDescent="0.35">
      <c r="A6" s="151" t="s">
        <v>167</v>
      </c>
      <c r="B6" s="151"/>
      <c r="C6" s="151"/>
      <c r="D6" s="151"/>
      <c r="E6" s="151"/>
    </row>
    <row r="7" spans="1:10" ht="14.5" thickBot="1" x14ac:dyDescent="0.4">
      <c r="A7" s="27"/>
      <c r="B7" s="27"/>
      <c r="C7" s="27"/>
      <c r="D7" s="27"/>
      <c r="E7" s="111" t="s">
        <v>98</v>
      </c>
    </row>
    <row r="8" spans="1:10" ht="14" customHeight="1" x14ac:dyDescent="0.35">
      <c r="A8" s="157" t="s">
        <v>80</v>
      </c>
      <c r="B8" s="157" t="s">
        <v>99</v>
      </c>
      <c r="C8" s="157" t="s">
        <v>166</v>
      </c>
      <c r="D8" s="157" t="s">
        <v>145</v>
      </c>
      <c r="E8" s="157" t="s">
        <v>100</v>
      </c>
    </row>
    <row r="9" spans="1:10" ht="14.5" thickBot="1" x14ac:dyDescent="0.4">
      <c r="A9" s="158"/>
      <c r="B9" s="158"/>
      <c r="C9" s="158"/>
      <c r="D9" s="158"/>
      <c r="E9" s="159"/>
      <c r="G9" s="48"/>
      <c r="H9" s="48"/>
      <c r="I9" s="48"/>
      <c r="J9" s="49"/>
    </row>
    <row r="10" spans="1:10" ht="16" thickBot="1" x14ac:dyDescent="0.4">
      <c r="A10" s="128">
        <v>1</v>
      </c>
      <c r="B10" s="128">
        <v>2</v>
      </c>
      <c r="C10" s="129">
        <v>3</v>
      </c>
      <c r="D10" s="129">
        <v>4</v>
      </c>
      <c r="E10" s="129">
        <v>5</v>
      </c>
      <c r="F10" s="28"/>
      <c r="G10" s="28"/>
    </row>
    <row r="11" spans="1:10" ht="31" x14ac:dyDescent="0.35">
      <c r="A11" s="130" t="s">
        <v>86</v>
      </c>
      <c r="B11" s="131" t="s">
        <v>101</v>
      </c>
      <c r="C11" s="80">
        <f t="shared" ref="C11:E11" si="0">C12+C13+C14+C15+C16+C25</f>
        <v>0</v>
      </c>
      <c r="D11" s="80">
        <f t="shared" si="0"/>
        <v>6623.2</v>
      </c>
      <c r="E11" s="80">
        <f t="shared" si="0"/>
        <v>4650.3999999999996</v>
      </c>
      <c r="F11" s="28"/>
      <c r="G11" s="50"/>
      <c r="H11" s="50"/>
      <c r="I11" s="50"/>
      <c r="J11" s="51"/>
    </row>
    <row r="12" spans="1:10" ht="15.5" x14ac:dyDescent="0.35">
      <c r="A12" s="132" t="s">
        <v>102</v>
      </c>
      <c r="B12" s="133" t="s">
        <v>103</v>
      </c>
      <c r="C12" s="81"/>
      <c r="D12" s="81">
        <v>23.7</v>
      </c>
      <c r="E12" s="81">
        <v>49.9</v>
      </c>
      <c r="F12" s="28"/>
      <c r="G12" s="50"/>
      <c r="H12" s="50"/>
      <c r="I12" s="50"/>
      <c r="J12" s="52"/>
    </row>
    <row r="13" spans="1:10" ht="15.5" x14ac:dyDescent="0.35">
      <c r="A13" s="132" t="s">
        <v>104</v>
      </c>
      <c r="B13" s="133" t="s">
        <v>105</v>
      </c>
      <c r="C13" s="81"/>
      <c r="D13" s="81">
        <v>6.7</v>
      </c>
      <c r="E13" s="81">
        <v>7.2</v>
      </c>
      <c r="F13" s="28"/>
      <c r="G13" s="50"/>
      <c r="H13" s="50"/>
      <c r="I13" s="50"/>
      <c r="J13" s="52"/>
    </row>
    <row r="14" spans="1:10" ht="15.5" x14ac:dyDescent="0.35">
      <c r="A14" s="132" t="s">
        <v>106</v>
      </c>
      <c r="B14" s="133" t="s">
        <v>107</v>
      </c>
      <c r="C14" s="81"/>
      <c r="D14" s="81">
        <v>4753.2</v>
      </c>
      <c r="E14" s="81">
        <v>3318.6</v>
      </c>
      <c r="G14" s="50"/>
      <c r="H14" s="50"/>
      <c r="I14" s="50"/>
      <c r="J14" s="52"/>
    </row>
    <row r="15" spans="1:10" ht="15.5" x14ac:dyDescent="0.35">
      <c r="A15" s="132" t="s">
        <v>108</v>
      </c>
      <c r="B15" s="133" t="s">
        <v>109</v>
      </c>
      <c r="C15" s="81"/>
      <c r="D15" s="81">
        <v>1451.5</v>
      </c>
      <c r="E15" s="81">
        <v>1013.1</v>
      </c>
      <c r="F15" s="53"/>
      <c r="G15" s="50"/>
      <c r="H15" s="50"/>
      <c r="I15" s="50"/>
      <c r="J15" s="52"/>
    </row>
    <row r="16" spans="1:10" ht="15.5" x14ac:dyDescent="0.35">
      <c r="A16" s="132" t="s">
        <v>110</v>
      </c>
      <c r="B16" s="133" t="s">
        <v>111</v>
      </c>
      <c r="C16" s="81">
        <f t="shared" ref="C16:E16" si="1">C17+C18+C19</f>
        <v>0</v>
      </c>
      <c r="D16" s="81">
        <f t="shared" si="1"/>
        <v>382.3</v>
      </c>
      <c r="E16" s="81">
        <f t="shared" si="1"/>
        <v>261.60000000000002</v>
      </c>
      <c r="F16" s="54"/>
      <c r="G16" s="50"/>
      <c r="H16" s="50"/>
      <c r="I16" s="50"/>
      <c r="J16" s="52"/>
    </row>
    <row r="17" spans="1:10" ht="15.5" x14ac:dyDescent="0.35">
      <c r="A17" s="132" t="s">
        <v>112</v>
      </c>
      <c r="B17" s="134" t="s">
        <v>113</v>
      </c>
      <c r="C17" s="81"/>
      <c r="D17" s="81">
        <v>6.8</v>
      </c>
      <c r="E17" s="81">
        <v>1.1000000000000001</v>
      </c>
      <c r="F17" s="28"/>
      <c r="G17" s="50"/>
      <c r="H17" s="50"/>
      <c r="I17" s="50"/>
      <c r="J17" s="52"/>
    </row>
    <row r="18" spans="1:10" ht="46.5" x14ac:dyDescent="0.35">
      <c r="A18" s="132" t="s">
        <v>114</v>
      </c>
      <c r="B18" s="134" t="s">
        <v>115</v>
      </c>
      <c r="C18" s="81"/>
      <c r="D18" s="81">
        <v>42.8</v>
      </c>
      <c r="E18" s="81">
        <v>44.2</v>
      </c>
      <c r="G18" s="50"/>
      <c r="H18" s="50"/>
      <c r="I18" s="50"/>
      <c r="J18" s="52"/>
    </row>
    <row r="19" spans="1:10" ht="26" customHeight="1" x14ac:dyDescent="0.35">
      <c r="A19" s="132" t="s">
        <v>116</v>
      </c>
      <c r="B19" s="134" t="s">
        <v>117</v>
      </c>
      <c r="C19" s="81">
        <f t="shared" ref="C19:E19" si="2">C20+C21+C22+C23+C24</f>
        <v>0</v>
      </c>
      <c r="D19" s="81">
        <f t="shared" si="2"/>
        <v>332.7</v>
      </c>
      <c r="E19" s="81">
        <f t="shared" si="2"/>
        <v>216.3</v>
      </c>
      <c r="G19" s="50"/>
      <c r="H19" s="50"/>
      <c r="I19" s="50"/>
      <c r="J19" s="52"/>
    </row>
    <row r="20" spans="1:10" ht="15.5" x14ac:dyDescent="0.35">
      <c r="A20" s="132" t="s">
        <v>118</v>
      </c>
      <c r="B20" s="133" t="s">
        <v>119</v>
      </c>
      <c r="C20" s="81"/>
      <c r="D20" s="81">
        <v>3</v>
      </c>
      <c r="E20" s="81">
        <v>3.2</v>
      </c>
      <c r="G20" s="50"/>
      <c r="H20" s="50"/>
      <c r="I20" s="50"/>
      <c r="J20" s="52"/>
    </row>
    <row r="21" spans="1:10" ht="15.5" x14ac:dyDescent="0.35">
      <c r="A21" s="132" t="s">
        <v>120</v>
      </c>
      <c r="B21" s="133" t="s">
        <v>121</v>
      </c>
      <c r="C21" s="81"/>
      <c r="D21" s="81"/>
      <c r="E21" s="81"/>
      <c r="G21" s="50"/>
      <c r="H21" s="50"/>
      <c r="I21" s="50"/>
      <c r="J21" s="52"/>
    </row>
    <row r="22" spans="1:10" ht="46.5" x14ac:dyDescent="0.35">
      <c r="A22" s="132" t="s">
        <v>122</v>
      </c>
      <c r="B22" s="133" t="s">
        <v>123</v>
      </c>
      <c r="C22" s="81"/>
      <c r="D22" s="81">
        <v>6.4</v>
      </c>
      <c r="E22" s="81">
        <v>4.5999999999999996</v>
      </c>
      <c r="G22" s="50"/>
      <c r="H22" s="50"/>
      <c r="I22" s="50"/>
      <c r="J22" s="52"/>
    </row>
    <row r="23" spans="1:10" ht="15.5" x14ac:dyDescent="0.35">
      <c r="A23" s="132" t="s">
        <v>124</v>
      </c>
      <c r="B23" s="133" t="s">
        <v>125</v>
      </c>
      <c r="C23" s="81"/>
      <c r="D23" s="81">
        <v>0</v>
      </c>
      <c r="E23" s="81">
        <v>0</v>
      </c>
      <c r="G23" s="50"/>
      <c r="H23" s="50"/>
      <c r="I23" s="50"/>
      <c r="J23" s="52"/>
    </row>
    <row r="24" spans="1:10" ht="31" x14ac:dyDescent="0.35">
      <c r="A24" s="132" t="s">
        <v>126</v>
      </c>
      <c r="B24" s="133" t="s">
        <v>127</v>
      </c>
      <c r="C24" s="81"/>
      <c r="D24" s="81">
        <v>323.3</v>
      </c>
      <c r="E24" s="81">
        <v>208.5</v>
      </c>
      <c r="G24" s="50"/>
      <c r="H24" s="50"/>
      <c r="I24" s="50"/>
      <c r="J24" s="52"/>
    </row>
    <row r="25" spans="1:10" ht="15.5" x14ac:dyDescent="0.35">
      <c r="A25" s="132" t="s">
        <v>128</v>
      </c>
      <c r="B25" s="133" t="s">
        <v>129</v>
      </c>
      <c r="C25" s="81">
        <f t="shared" ref="C25:D25" si="3">SUM(C26:C29)</f>
        <v>0</v>
      </c>
      <c r="D25" s="81">
        <f t="shared" si="3"/>
        <v>5.8</v>
      </c>
      <c r="E25" s="81">
        <f t="shared" ref="E25" si="4">SUM(E26:E29)</f>
        <v>0</v>
      </c>
    </row>
    <row r="26" spans="1:10" ht="15.5" x14ac:dyDescent="0.35">
      <c r="A26" s="132" t="s">
        <v>130</v>
      </c>
      <c r="B26" s="134" t="s">
        <v>131</v>
      </c>
      <c r="C26" s="81"/>
      <c r="D26" s="81"/>
      <c r="E26" s="81"/>
      <c r="H26" s="55"/>
    </row>
    <row r="27" spans="1:10" ht="15.5" x14ac:dyDescent="0.35">
      <c r="A27" s="132" t="s">
        <v>132</v>
      </c>
      <c r="B27" s="134" t="s">
        <v>133</v>
      </c>
      <c r="C27" s="81"/>
      <c r="D27" s="81"/>
      <c r="E27" s="81"/>
    </row>
    <row r="28" spans="1:10" ht="15.5" x14ac:dyDescent="0.35">
      <c r="A28" s="132" t="s">
        <v>134</v>
      </c>
      <c r="B28" s="134" t="s">
        <v>135</v>
      </c>
      <c r="C28" s="81"/>
      <c r="D28" s="81">
        <v>5.8</v>
      </c>
      <c r="E28" s="81">
        <v>0</v>
      </c>
    </row>
    <row r="29" spans="1:10" ht="31.5" thickBot="1" x14ac:dyDescent="0.4">
      <c r="A29" s="135" t="s">
        <v>136</v>
      </c>
      <c r="B29" s="136" t="s">
        <v>137</v>
      </c>
      <c r="C29" s="137"/>
      <c r="D29" s="137"/>
      <c r="E29" s="137"/>
    </row>
    <row r="30" spans="1:10" x14ac:dyDescent="0.35">
      <c r="A30" s="34"/>
      <c r="B30" s="34"/>
      <c r="C30" s="34"/>
      <c r="D30" s="34"/>
      <c r="E30" s="35"/>
      <c r="F30" s="36"/>
      <c r="G30" s="36"/>
    </row>
    <row r="31" spans="1:10" x14ac:dyDescent="0.35">
      <c r="B31" s="56"/>
      <c r="C31" s="35"/>
      <c r="D31" s="39"/>
      <c r="E31" s="57"/>
      <c r="F31" s="36"/>
      <c r="G31" s="36"/>
    </row>
    <row r="36" spans="5:9" x14ac:dyDescent="0.35">
      <c r="G36" s="59"/>
      <c r="H36" s="36"/>
      <c r="I36" s="36"/>
    </row>
    <row r="37" spans="5:9" x14ac:dyDescent="0.35">
      <c r="G37" s="59"/>
      <c r="H37" s="36"/>
      <c r="I37" s="36"/>
    </row>
    <row r="38" spans="5:9" x14ac:dyDescent="0.35">
      <c r="G38" s="60"/>
      <c r="H38" s="36"/>
    </row>
    <row r="39" spans="5:9" x14ac:dyDescent="0.35">
      <c r="G39" s="52"/>
    </row>
    <row r="40" spans="5:9" x14ac:dyDescent="0.35">
      <c r="E40" s="61"/>
      <c r="G40" s="62"/>
    </row>
    <row r="41" spans="5:9" x14ac:dyDescent="0.35">
      <c r="F41" s="63"/>
    </row>
    <row r="44" spans="5:9" x14ac:dyDescent="0.35">
      <c r="E44" s="61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Прил 2 к станд</vt:lpstr>
      <vt:lpstr>Прил 3 к станд</vt:lpstr>
      <vt:lpstr>Прил 4 к станд</vt:lpstr>
      <vt:lpstr>Прил 5 к станд</vt:lpstr>
      <vt:lpstr>Прил 1 к мет.указ.</vt:lpstr>
      <vt:lpstr>Прил 2 к мет.указ.пост</vt:lpstr>
      <vt:lpstr>Прил 2 к мет.указ.врем</vt:lpstr>
      <vt:lpstr>Прил 3 к мет.указ.пост.пп.а</vt:lpstr>
      <vt:lpstr>Прил 3 к мет.указ.пост.пп.в</vt:lpstr>
      <vt:lpstr>Прил 3 к мен.указ.пост.пп.в 2.1</vt:lpstr>
      <vt:lpstr>Прил 3 к мет.указ.пост.пп.в 2.2</vt:lpstr>
      <vt:lpstr>Прил 3 к мет.указ.врем.пп.а</vt:lpstr>
      <vt:lpstr>Прил 3 к мет.указ.врем.пп.в</vt:lpstr>
      <vt:lpstr>Прил 3 к мет.указ.врем.пп.в 2.1</vt:lpstr>
      <vt:lpstr>'Прил 2 к станд'!Область_печати</vt:lpstr>
      <vt:lpstr>'Прил 3 к станд'!Область_печати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user</cp:lastModifiedBy>
  <cp:lastPrinted>2018-10-15T11:27:02Z</cp:lastPrinted>
  <dcterms:created xsi:type="dcterms:W3CDTF">2015-10-19T10:05:24Z</dcterms:created>
  <dcterms:modified xsi:type="dcterms:W3CDTF">2021-10-22T07:27:44Z</dcterms:modified>
</cp:coreProperties>
</file>